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0" windowWidth="14610" windowHeight="11355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<sst xmlns="http://schemas.openxmlformats.org/spreadsheetml/2006/main" count="1070" uniqueCount="900">
  <si>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</si>
  <si>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</si>
  <si>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</si>
  <si>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</si>
  <si>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</si>
  <si>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</si>
  <si>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</si>
  <si>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</si>
  <si>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</si>
  <si>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</si>
  <si>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</si>
  <si>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</si>
  <si>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</si>
  <si>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</si>
  <si>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</si>
  <si>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</si>
  <si>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</si>
  <si>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</si>
  <si>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</si>
  <si>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</si>
  <si>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</si>
  <si>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</si>
  <si>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</si>
  <si>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</si>
  <si>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</si>
  <si>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</si>
  <si>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</si>
  <si>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</si>
  <si>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</si>
  <si>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</si>
  <si>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</si>
  <si>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</si>
  <si>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</si>
  <si>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</si>
  <si>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</si>
  <si>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</si>
  <si>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</si>
  <si>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</si>
  <si>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</si>
  <si>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</si>
  <si>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</si>
  <si>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</si>
  <si>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</si>
  <si>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</si>
  <si>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</si>
  <si>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</si>
  <si>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</si>
  <si>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</si>
  <si>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</si>
  <si>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</si>
  <si>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</si>
  <si>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</si>
  <si>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</si>
  <si>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</si>
  <si>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</si>
  <si>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</si>
  <si>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</si>
  <si>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</si>
  <si>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</si>
  <si>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</si>
  <si>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</si>
  <si>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</si>
  <si>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</si>
  <si>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</si>
  <si>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</si>
  <si>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</si>
  <si>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</si>
  <si>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</si>
  <si>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</si>
  <si>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</si>
  <si>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</si>
  <si>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</si>
  <si>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</si>
  <si>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</si>
  <si>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</si>
  <si>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</si>
  <si>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</si>
  <si>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</si>
  <si>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</si>
  <si>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</si>
  <si>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</si>
  <si>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</si>
  <si>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</si>
  <si>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</si>
  <si>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</si>
  <si>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</si>
  <si>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</si>
  <si>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</si>
  <si>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</si>
  <si>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</si>
  <si>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</si>
  <si>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</si>
  <si>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</si>
  <si>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</si>
  <si>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</si>
  <si>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</si>
  <si>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</si>
  <si>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</si>
  <si>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</si>
  <si>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</si>
  <si>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</si>
  <si>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</si>
  <si>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</si>
  <si>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</si>
  <si>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</si>
  <si>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</si>
  <si>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</si>
  <si>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</si>
  <si>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</si>
  <si>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</si>
  <si>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</si>
  <si>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</si>
  <si>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</si>
  <si>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</si>
  <si>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</si>
  <si>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</si>
  <si>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</si>
  <si>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</si>
  <si>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</si>
  <si>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</si>
  <si>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</si>
  <si>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</si>
  <si>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</si>
  <si>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</si>
  <si>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</si>
  <si>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</si>
  <si>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</si>
  <si>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</si>
  <si>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</si>
  <si>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</si>
  <si>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</si>
  <si>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</si>
  <si>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</si>
  <si>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</si>
  <si>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</si>
  <si>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</si>
  <si>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</si>
  <si>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</si>
  <si>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</si>
  <si>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</si>
  <si>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</si>
  <si>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</si>
  <si>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</si>
  <si>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</si>
  <si>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</si>
  <si>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</si>
  <si>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</si>
  <si>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</si>
  <si>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</si>
  <si>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</si>
  <si>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</si>
  <si>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</si>
  <si>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</si>
  <si>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</si>
  <si>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</si>
  <si>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</si>
  <si>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</si>
  <si>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</si>
  <si>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</si>
  <si>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</si>
  <si>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</si>
  <si>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</si>
  <si>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</si>
  <si>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</si>
  <si>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</si>
  <si>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</si>
  <si>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</si>
  <si>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</si>
  <si>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</si>
  <si>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</si>
  <si>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</si>
  <si>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</si>
  <si>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</si>
  <si>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</si>
  <si>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</si>
  <si>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</si>
  <si>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</si>
  <si>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</si>
  <si>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</si>
  <si>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</si>
  <si>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</si>
  <si>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</si>
  <si>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</si>
  <si>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</si>
  <si>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</si>
  <si>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</si>
  <si>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</si>
  <si>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</si>
  <si>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</si>
  <si>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</si>
  <si>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</si>
  <si>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</si>
  <si>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</si>
  <si>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</si>
  <si>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</si>
  <si>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</si>
  <si>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</si>
  <si>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</si>
  <si>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</si>
  <si>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</si>
  <si>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</si>
  <si>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</si>
  <si>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</si>
  <si>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</si>
  <si>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</si>
  <si>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</si>
  <si>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</si>
  <si>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</si>
  <si>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</si>
  <si>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</si>
  <si>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</si>
  <si>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</si>
  <si>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</si>
  <si>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</si>
  <si>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</si>
  <si>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</si>
  <si>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</si>
  <si>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</si>
  <si>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</si>
  <si>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</si>
  <si>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</si>
  <si>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</si>
  <si>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</si>
  <si>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</si>
  <si>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</si>
  <si>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</si>
  <si>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</si>
  <si>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</si>
  <si>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</si>
  <si>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</si>
  <si>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</si>
  <si>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</si>
  <si>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</si>
  <si>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</si>
  <si>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</si>
  <si>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</si>
  <si>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</si>
  <si>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</si>
  <si>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</si>
  <si>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</si>
  <si>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</si>
  <si>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</si>
  <si>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</si>
  <si>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</si>
  <si>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</si>
  <si>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</si>
  <si>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</si>
  <si>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</si>
  <si>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</si>
  <si>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</si>
  <si>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</si>
  <si>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</si>
  <si>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</si>
  <si>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</si>
  <si>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</si>
  <si>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</si>
  <si>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</si>
  <si>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</si>
  <si>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</si>
  <si>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</si>
  <si>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</si>
  <si>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</si>
  <si>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</si>
  <si>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</si>
  <si>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</si>
  <si>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</si>
  <si>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</si>
  <si>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</si>
  <si>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</si>
  <si>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</si>
  <si>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</si>
  <si>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</si>
  <si>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</si>
  <si>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</si>
  <si>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</si>
  <si>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</si>
  <si>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</si>
  <si>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</si>
  <si>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</si>
  <si>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</si>
  <si>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</si>
  <si>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</si>
  <si>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</si>
  <si>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</si>
  <si>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</si>
  <si>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</si>
  <si>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</si>
  <si>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</si>
  <si>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</si>
  <si>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</si>
  <si>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</si>
  <si>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</si>
  <si>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</si>
  <si>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</si>
  <si>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</si>
  <si>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</si>
  <si>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</si>
  <si>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</si>
  <si>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</si>
  <si>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</si>
  <si>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</si>
  <si>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</si>
  <si>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</si>
  <si>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</si>
  <si>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</si>
  <si>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</si>
  <si>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</si>
  <si>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</si>
  <si>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</si>
  <si>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</si>
  <si>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</si>
  <si>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</si>
  <si>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</si>
  <si>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</si>
  <si>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</si>
  <si>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</si>
  <si>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</si>
  <si>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</si>
  <si>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</si>
  <si>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</si>
  <si>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</si>
  <si>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</si>
  <si>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</si>
  <si>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</si>
  <si>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</si>
  <si>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</si>
  <si>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</si>
  <si>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</si>
  <si>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</si>
  <si>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</si>
  <si>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</si>
  <si>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</si>
  <si>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</si>
  <si>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</si>
  <si>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</si>
  <si>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</si>
  <si>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</si>
  <si>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</si>
  <si>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</si>
  <si>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</si>
  <si>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</si>
  <si>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</si>
  <si>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</si>
  <si>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</si>
  <si>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</si>
  <si>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</si>
  <si>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</si>
  <si>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</si>
  <si>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</si>
  <si>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</si>
  <si>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</si>
  <si>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</si>
  <si>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</si>
  <si>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</si>
  <si>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</si>
  <si>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</si>
  <si>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</si>
  <si>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</si>
  <si>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</si>
  <si>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</si>
  <si>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</si>
  <si>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</si>
  <si>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</si>
  <si>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</si>
  <si>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</si>
  <si>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</si>
  <si>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</si>
  <si>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</si>
  <si>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</si>
  <si>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</si>
  <si>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</si>
  <si>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</si>
  <si>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</si>
  <si>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</si>
  <si>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</si>
  <si>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</si>
  <si>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</si>
  <si>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</si>
  <si>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</si>
  <si>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</si>
  <si>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</si>
  <si>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</si>
  <si>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</si>
  <si>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</si>
  <si>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</si>
  <si>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</si>
  <si>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</si>
  <si>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</si>
  <si>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</si>
  <si>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</si>
  <si>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</si>
  <si>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</si>
  <si>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</si>
  <si>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</si>
  <si>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</si>
  <si>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</si>
  <si>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</si>
  <si>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</si>
  <si>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</si>
  <si>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</si>
  <si>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</si>
  <si>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</si>
  <si>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</si>
  <si>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</si>
  <si>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</si>
  <si>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</si>
  <si>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</si>
  <si>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</si>
  <si>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</si>
  <si>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</si>
  <si>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</si>
  <si>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</si>
  <si>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</si>
  <si>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</si>
  <si>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</si>
  <si>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</si>
  <si>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</si>
  <si>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</si>
  <si>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</si>
  <si>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</si>
  <si>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</si>
  <si>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</si>
  <si>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</si>
  <si>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</si>
  <si>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</si>
  <si>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</si>
  <si>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</si>
  <si>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</si>
  <si>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</si>
  <si>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</si>
  <si>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</si>
  <si>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</si>
  <si>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</si>
  <si>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</si>
  <si>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</si>
  <si>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</si>
  <si>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</si>
  <si>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</si>
  <si>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</si>
  <si>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</si>
  <si>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</si>
  <si>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</si>
  <si>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</si>
  <si>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</si>
  <si>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</si>
  <si>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</si>
  <si>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</si>
  <si>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</si>
  <si>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</si>
  <si>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</si>
  <si>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</si>
  <si>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</si>
  <si>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</si>
  <si>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</si>
  <si>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</si>
  <si>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</si>
  <si>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</si>
  <si>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</si>
  <si>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</si>
  <si>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</si>
  <si>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</si>
  <si>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</si>
  <si>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</si>
  <si>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</si>
  <si>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</si>
  <si>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</si>
  <si>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</si>
  <si>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</si>
  <si>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</si>
  <si>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</si>
  <si>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</si>
  <si>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</si>
  <si>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</si>
  <si>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</si>
  <si>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</si>
  <si>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</si>
  <si>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</si>
  <si>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</si>
  <si>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</si>
  <si>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</si>
  <si>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</si>
  <si>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</si>
  <si>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</si>
  <si>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</si>
  <si>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</si>
  <si>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</si>
  <si>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</si>
  <si>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</si>
  <si>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</si>
  <si>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</si>
  <si>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</si>
  <si>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</si>
  <si>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</si>
  <si>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</si>
  <si>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</si>
  <si>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</si>
  <si>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</si>
  <si>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</si>
  <si>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</si>
  <si>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</si>
  <si>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</si>
  <si>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</si>
  <si>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</si>
  <si>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</si>
  <si>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</si>
  <si>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</si>
  <si>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</si>
  <si>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</si>
  <si>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</si>
  <si>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</si>
  <si>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</si>
  <si>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</si>
  <si>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</si>
  <si>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</si>
  <si>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</si>
  <si>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</si>
  <si>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</si>
  <si>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</si>
  <si>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</si>
  <si>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</si>
  <si>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</si>
  <si>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</si>
  <si>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</si>
  <si>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</si>
  <si>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</si>
  <si>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</si>
  <si>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</si>
  <si>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</si>
  <si>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</si>
  <si>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</si>
  <si>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</si>
  <si>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</si>
  <si>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</si>
  <si>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</si>
  <si>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</si>
  <si>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</si>
  <si>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</si>
  <si>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</si>
  <si>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</si>
  <si>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</si>
  <si>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</si>
  <si>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</si>
  <si>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</si>
  <si>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</si>
  <si>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</si>
  <si>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</si>
  <si>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</si>
  <si>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</si>
  <si>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</si>
  <si>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</si>
  <si>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</si>
  <si>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</si>
  <si>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</si>
  <si>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</si>
  <si>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</si>
  <si>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</si>
  <si>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</si>
  <si>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</si>
  <si>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</si>
  <si>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</si>
  <si>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</si>
  <si>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</si>
  <si>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</si>
  <si>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</si>
  <si>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</si>
  <si>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</si>
  <si>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</si>
  <si>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</si>
  <si>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</si>
  <si>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</si>
  <si>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</si>
  <si>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</si>
  <si>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</si>
  <si>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</si>
  <si>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</si>
  <si>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</si>
  <si>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</si>
  <si>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</si>
  <si>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</si>
  <si>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</si>
  <si>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</si>
  <si>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</si>
  <si>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</si>
  <si>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</si>
  <si>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</si>
  <si>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</si>
  <si>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</si>
  <si>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</si>
  <si>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</si>
  <si>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</si>
  <si>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</si>
  <si>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</si>
  <si>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</si>
  <si>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</si>
  <si>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</si>
  <si>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</si>
  <si>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</si>
  <si>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</si>
  <si>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</si>
  <si>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</si>
  <si>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</si>
  <si>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</si>
  <si>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</si>
  <si>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</si>
  <si>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</si>
  <si>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</si>
  <si>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</si>
  <si>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</si>
  <si>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</si>
  <si>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</si>
  <si>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</si>
  <si>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</si>
  <si>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</si>
  <si>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</si>
  <si>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</si>
  <si>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</si>
  <si>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</si>
  <si>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</si>
  <si>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</si>
  <si>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</si>
  <si>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</si>
  <si>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</si>
  <si>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</si>
  <si>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</si>
  <si>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</si>
  <si>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</si>
  <si>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</si>
  <si>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</si>
  <si>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</si>
  <si>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</si>
  <si>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</si>
  <si>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</si>
  <si>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</si>
  <si>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</si>
  <si>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</si>
  <si>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</si>
  <si>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</si>
  <si>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</si>
  <si>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</si>
  <si>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</si>
  <si>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</si>
  <si>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</si>
  <si>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</si>
  <si>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</si>
  <si>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</si>
  <si>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</si>
  <si>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</si>
  <si>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</si>
  <si>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</si>
  <si>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</si>
  <si>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</si>
  <si>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</si>
  <si>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</si>
  <si>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</si>
  <si>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</si>
  <si>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</si>
  <si>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</si>
  <si>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</si>
  <si>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</si>
  <si>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</si>
  <si>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</si>
  <si>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</si>
  <si>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</si>
  <si>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</si>
  <si>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</si>
  <si>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</si>
  <si>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</si>
  <si>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</si>
  <si>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</si>
  <si>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</si>
  <si>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</si>
  <si>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</si>
  <si>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</si>
  <si>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</si>
  <si>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</si>
  <si>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</si>
  <si>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</si>
  <si>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</si>
  <si>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</si>
  <si>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</si>
  <si>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</si>
  <si>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</si>
  <si>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</si>
  <si>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</si>
  <si>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</si>
  <si>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</si>
  <si>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</si>
  <si>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</si>
  <si>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</si>
  <si>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</si>
  <si>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</si>
  <si>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</si>
  <si>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</si>
  <si>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</si>
  <si>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</si>
  <si>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</si>
  <si>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</si>
  <si>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</si>
  <si>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</si>
  <si>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</si>
  <si>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</si>
  <si>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</si>
  <si>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</si>
  <si>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</si>
  <si>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</si>
  <si>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</si>
  <si>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</si>
  <si>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</si>
  <si>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</si>
  <si>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</si>
  <si>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</si>
  <si>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</si>
  <si>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</si>
  <si>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</si>
  <si>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</si>
  <si>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</si>
  <si>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</si>
  <si>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</si>
  <si>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</si>
  <si>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</si>
  <si>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</si>
  <si>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</si>
  <si>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</si>
  <si>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</si>
  <si>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</si>
  <si>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</si>
  <si>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</si>
  <si>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</si>
  <si>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</si>
  <si>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</si>
  <si>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</si>
  <si>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</si>
  <si>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</si>
  <si>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</si>
  <si>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</si>
  <si>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</si>
  <si>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</si>
  <si>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</si>
  <si>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</si>
  <si>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</si>
  <si>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</si>
  <si>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</si>
  <si>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</si>
  <si>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</si>
  <si>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</si>
  <si>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</si>
  <si>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</si>
  <si>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</si>
  <si>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</si>
  <si>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</si>
  <si>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</si>
  <si>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</si>
  <si>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</si>
  <si>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</si>
  <si>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</si>
  <si>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</si>
  <si>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</si>
  <si>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</si>
  <si>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</si>
  <si>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</si>
  <si>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</si>
  <si>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</si>
  <si>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</si>
  <si>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</si>
  <si>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</si>
  <si>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</si>
  <si>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</si>
  <si>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</si>
  <si>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</si>
  <si>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</si>
  <si>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</si>
  <si>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</si>
  <si>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</si>
  <si>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</si>
  <si>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</si>
  <si>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</si>
  <si>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</si>
  <si>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</si>
  <si>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</si>
  <si>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</si>
  <si>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</si>
  <si>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</si>
  <si>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</si>
  <si>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</si>
  <si>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</si>
  <si>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</si>
  <si>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</si>
  <si>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</si>
  <si>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</si>
  <si>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</si>
  <si>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</si>
  <si>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</si>
  <si>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</si>
  <si>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</si>
  <si>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</si>
  <si>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</si>
  <si>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</si>
  <si>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</si>
  <si>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</si>
  <si>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</si>
  <si>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</si>
  <si>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</si>
  <si>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</si>
  <si>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</si>
  <si>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</si>
  <si>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</si>
  <si>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</si>
  <si>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</si>
  <si>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</si>
  <si>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</si>
  <si>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</si>
  <si>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</si>
  <si>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</si>
  <si>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</si>
  <si>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</si>
  <si>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</si>
  <si>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</si>
  <si>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</si>
  <si>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</si>
  <si>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</si>
  <si>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</si>
  <si>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</si>
  <si>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</si>
  <si>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</si>
  <si>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</si>
  <si>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</si>
  <si>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</si>
  <si>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</si>
  <si>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</si>
  <si>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</si>
  <si>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</si>
  <si>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</si>
  <si>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</si>
  <si>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</si>
  <si>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</si>
  <si>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</si>
  <si>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</si>
  <si>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</si>
  <si>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</si>
  <si>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</si>
  <si>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</si>
  <si>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</si>
  <si>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</si>
  <si>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</si>
  <si>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</si>
  <si>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</si>
  <si>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</si>
  <si>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</si>
  <si>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</si>
  <si>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</si>
  <si>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</si>
  <si>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</si>
  <si>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</si>
  <si>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</si>
  <si>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</si>
  <si>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</si>
  <si>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</si>
  <si>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</si>
  <si>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</si>
  <si>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>2.КРИМГАЗ ОАО</t>
  </si>
  <si>
    <t>3.АИК БАНК АД</t>
  </si>
  <si>
    <t>4.ПРИВРЕДНА БАНКА АД</t>
  </si>
  <si>
    <t>5.АГРОБАНКА АД</t>
  </si>
  <si>
    <t>6.МЕТАЛСБАНКА АД</t>
  </si>
  <si>
    <t>7.ДУНАВ ОСИГУРЯВАНЕ АД</t>
  </si>
  <si>
    <t xml:space="preserve"> МЕТОД</t>
  </si>
  <si>
    <t xml:space="preserve">Име на  предприятието:  СОФАРМА АД </t>
  </si>
  <si>
    <t>2.МЕДИКА АД</t>
  </si>
  <si>
    <t>3.ЕКОБУЛПАК АД</t>
  </si>
  <si>
    <t>4.МАРИЦАТЕКС АД</t>
  </si>
  <si>
    <t>5.УНИКРЕДИТ БУЛБАНК АД /ЕЙЧ ВИ БИ БАНК/</t>
  </si>
  <si>
    <t>6.ОЗОФ ДОВЕРИЕ АД</t>
  </si>
  <si>
    <t>7.БАЛКАНФАРМА РАЗГРАД</t>
  </si>
  <si>
    <t>8.ХИДРОИЗОМАТ АД</t>
  </si>
  <si>
    <t>9.СОФАРМА ИМОТИ АДСИЦ</t>
  </si>
  <si>
    <t>10.БАЛКАНФАРМА ДУПНИЦА</t>
  </si>
  <si>
    <t>11.ЕЛФАРМА АД</t>
  </si>
  <si>
    <t>13.ДФ СТАТУС НОВИ АКЦИИ</t>
  </si>
  <si>
    <t xml:space="preserve">КОНСОЛИДИРАН </t>
  </si>
  <si>
    <t>Вид на отчета: консолидиран</t>
  </si>
  <si>
    <t>14.АРОМА АД</t>
  </si>
  <si>
    <t>12.БЪЛГАРСКА ФОНДОВА БОРСА</t>
  </si>
  <si>
    <t>15.ЛАВЕНА АД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</si>
  <si>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</si>
  <si>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</si>
  <si>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</si>
  <si>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</si>
  <si>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 xml:space="preserve">Дата на съставяне:18.05.2012               </t>
  </si>
  <si>
    <t xml:space="preserve">ОДИТИРАН СЧЕТОВОДЕН  БАЛАНС </t>
  </si>
  <si>
    <t xml:space="preserve">ОДИТИРАН ОТЧЕТ ЗА ДОХОДИТЕ  </t>
  </si>
  <si>
    <t xml:space="preserve">ОДИТИРАН ОТЧЕТ ЗА ПАРИЧНИТЕ ПОТОЦИ ПО ПРЕКИЯ </t>
  </si>
  <si>
    <t>01.01.-31.03.2012</t>
  </si>
  <si>
    <t>Дата на съставяне: 28.05.2012</t>
  </si>
  <si>
    <t xml:space="preserve">Дата на съставяне:            28.05.2012                         </t>
  </si>
  <si>
    <t xml:space="preserve">Дата  на съставяне: 28.05.2012                                                                                                                                </t>
  </si>
  <si>
    <t>Дата на съставяне:28.05.2012</t>
  </si>
  <si>
    <t>8.ВИВАТОН ПЛЮС ООО</t>
  </si>
  <si>
    <t>16.ДФ ЕЛАНА ФОНД ПАРИЧЕН ПАЗАР</t>
  </si>
  <si>
    <t>17.ТОДОРОВ АД</t>
  </si>
  <si>
    <t>Отчетен период:01.01.2012 - 31.03.2012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</si>
</sst>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%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29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0" fontId="10" fillId="0" borderId="0" xfId="41" applyFont="1">
      <alignment/>
      <protection/>
    </xf>
    <xf numFmtId="0" fontId="12" fillId="0" borderId="0" xfId="41" applyFont="1" applyBorder="1" applyAlignment="1" applyProtection="1">
      <alignment horizontal="centerContinuous"/>
      <protection locked="0"/>
    </xf>
    <xf numFmtId="0" fontId="10" fillId="0" borderId="0" xfId="41" applyFont="1" applyBorder="1" applyAlignment="1">
      <alignment wrapText="1"/>
      <protection/>
    </xf>
    <xf numFmtId="0" fontId="10" fillId="0" borderId="0" xfId="41" applyFont="1" applyBorder="1">
      <alignment/>
      <protection/>
    </xf>
    <xf numFmtId="0" fontId="18" fillId="0" borderId="0" xfId="41" applyFont="1" applyBorder="1" applyAlignment="1">
      <alignment vertical="center" wrapText="1"/>
      <protection/>
    </xf>
    <xf numFmtId="0" fontId="10" fillId="0" borderId="0" xfId="41" applyFont="1" applyAlignment="1">
      <alignment wrapText="1"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0" fillId="0" borderId="0" xfId="38" applyFont="1">
      <alignment/>
      <protection/>
    </xf>
    <xf numFmtId="0" fontId="21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0" fillId="0" borderId="0" xfId="38" applyFont="1" applyBorder="1">
      <alignment/>
      <protection/>
    </xf>
    <xf numFmtId="49" fontId="20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19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19" fillId="0" borderId="0" xfId="38" applyFont="1" applyAlignment="1">
      <alignment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3" fillId="0" borderId="0" xfId="38" applyFont="1" applyBorder="1">
      <alignment/>
      <protection/>
    </xf>
    <xf numFmtId="0" fontId="23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19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" fontId="12" fillId="36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Fill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Border="1" applyProtection="1">
      <alignment/>
      <protection/>
    </xf>
    <xf numFmtId="1" fontId="10" fillId="34" borderId="10" xfId="41" applyNumberFormat="1" applyFont="1" applyFill="1" applyBorder="1" applyProtection="1">
      <alignment/>
      <protection locked="0"/>
    </xf>
    <xf numFmtId="0" fontId="10" fillId="0" borderId="10" xfId="41" applyFont="1" applyBorder="1" applyProtection="1">
      <alignment/>
      <protection/>
    </xf>
    <xf numFmtId="1" fontId="10" fillId="36" borderId="10" xfId="41" applyNumberFormat="1" applyFont="1" applyFill="1" applyBorder="1" applyProtection="1">
      <alignment/>
      <protection locked="0"/>
    </xf>
    <xf numFmtId="3" fontId="10" fillId="0" borderId="10" xfId="41" applyNumberFormat="1" applyFont="1" applyBorder="1" applyProtection="1">
      <alignment/>
      <protection/>
    </xf>
    <xf numFmtId="3" fontId="10" fillId="0" borderId="10" xfId="41" applyNumberFormat="1" applyFont="1" applyFill="1" applyBorder="1" applyProtection="1">
      <alignment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3" fontId="12" fillId="0" borderId="13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7" applyFont="1" applyBorder="1" applyAlignment="1" applyProtection="1">
      <alignment horizontal="center" vertical="center" wrapText="1"/>
      <protection/>
    </xf>
    <xf numFmtId="0" fontId="12" fillId="0" borderId="13" xfId="37" applyFont="1" applyFill="1" applyBorder="1" applyAlignment="1" applyProtection="1">
      <alignment horizontal="center" vertical="center" wrapText="1"/>
      <protection/>
    </xf>
    <xf numFmtId="0" fontId="20" fillId="0" borderId="0" xfId="38" applyFont="1" applyProtection="1">
      <alignment/>
      <protection/>
    </xf>
    <xf numFmtId="1" fontId="12" fillId="33" borderId="14" xfId="37" applyNumberFormat="1" applyFont="1" applyFill="1" applyBorder="1" applyAlignment="1" applyProtection="1">
      <alignment horizontal="left" vertical="center" wrapText="1"/>
      <protection/>
    </xf>
    <xf numFmtId="1" fontId="12" fillId="33" borderId="14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0" fillId="0" borderId="0" xfId="38" applyFont="1" applyBorder="1" applyProtection="1">
      <alignment/>
      <protection/>
    </xf>
    <xf numFmtId="1" fontId="20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49" fontId="11" fillId="0" borderId="15" xfId="35" applyNumberFormat="1" applyFont="1" applyBorder="1" applyAlignment="1" applyProtection="1">
      <alignment horizontal="center" vertical="center" wrapText="1"/>
      <protection/>
    </xf>
    <xf numFmtId="0" fontId="11" fillId="0" borderId="13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0" fillId="0" borderId="0" xfId="38" applyNumberFormat="1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1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1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0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1" fontId="11" fillId="34" borderId="16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Continuous" wrapText="1"/>
      <protection/>
    </xf>
    <xf numFmtId="0" fontId="10" fillId="0" borderId="0" xfId="41" applyFont="1" applyProtection="1">
      <alignment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2" fillId="0" borderId="0" xfId="40" applyFont="1" applyBorder="1" applyAlignment="1" applyProtection="1">
      <alignment wrapText="1"/>
      <protection/>
    </xf>
    <xf numFmtId="1" fontId="12" fillId="34" borderId="10" xfId="40" applyNumberFormat="1" applyFont="1" applyFill="1" applyBorder="1" applyAlignment="1" applyProtection="1">
      <alignment wrapText="1"/>
      <protection locked="0"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4" xfId="35" applyFont="1" applyBorder="1" applyAlignment="1" applyProtection="1">
      <alignment horizontal="centerContinuous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78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5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3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4" xfId="42" applyNumberFormat="1" applyFont="1" applyFill="1" applyBorder="1" applyAlignment="1" applyProtection="1">
      <alignment vertical="center"/>
      <protection locked="0"/>
    </xf>
    <xf numFmtId="1" fontId="12" fillId="33" borderId="16" xfId="42" applyNumberFormat="1" applyFont="1" applyFill="1" applyBorder="1" applyAlignment="1" applyProtection="1">
      <alignment vertical="center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1" fillId="0" borderId="13" xfId="42" applyFont="1" applyBorder="1" applyAlignment="1">
      <alignment horizontal="left" vertical="center" wrapText="1"/>
      <protection/>
    </xf>
    <xf numFmtId="1" fontId="14" fillId="34" borderId="10" xfId="37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4" fillId="0" borderId="13" xfId="37" applyFont="1" applyBorder="1" applyAlignment="1" applyProtection="1">
      <alignment vertical="center" wrapText="1"/>
      <protection/>
    </xf>
    <xf numFmtId="1" fontId="12" fillId="33" borderId="14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0" fillId="0" borderId="0" xfId="38" applyFont="1" applyAlignment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Continuous" vertical="center" wrapText="1"/>
      <protection/>
    </xf>
    <xf numFmtId="0" fontId="11" fillId="33" borderId="15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19" xfId="42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5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5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5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5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39" applyNumberFormat="1" applyFont="1" applyFill="1" applyBorder="1" applyAlignment="1" applyProtection="1">
      <alignment vertical="top"/>
      <protection/>
    </xf>
    <xf numFmtId="0" fontId="25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35" xfId="41" applyFont="1" applyBorder="1" applyAlignment="1" applyProtection="1">
      <alignment horizontal="centerContinuous"/>
      <protection locked="0"/>
    </xf>
    <xf numFmtId="0" fontId="12" fillId="0" borderId="0" xfId="41" applyFont="1" applyAlignment="1" applyProtection="1">
      <alignment horizontal="centerContinuous" wrapText="1"/>
      <protection locked="0"/>
    </xf>
    <xf numFmtId="0" fontId="10" fillId="0" borderId="0" xfId="41" applyFont="1" applyAlignment="1" applyProtection="1">
      <alignment horizontal="centerContinuous" wrapText="1"/>
      <protection locked="0"/>
    </xf>
    <xf numFmtId="0" fontId="10" fillId="0" borderId="0" xfId="41" applyFont="1" applyProtection="1">
      <alignment/>
      <protection locked="0"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3" fillId="0" borderId="0" xfId="41" applyFont="1" applyAlignment="1" applyProtection="1">
      <alignment horizontal="right"/>
      <protection locked="0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2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0" fontId="12" fillId="0" borderId="10" xfId="41" applyFont="1" applyBorder="1" applyAlignment="1" applyProtection="1">
      <alignment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horizontal="right" vertic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0" fontId="15" fillId="0" borderId="10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3" fontId="14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4" fillId="0" borderId="16" xfId="41" applyFont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horizontal="left" vertical="center" wrapText="1"/>
      <protection/>
    </xf>
    <xf numFmtId="0" fontId="14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0" fontId="16" fillId="0" borderId="10" xfId="41" applyFont="1" applyBorder="1" applyAlignment="1" applyProtection="1">
      <alignment vertical="center" wrapText="1"/>
      <protection/>
    </xf>
    <xf numFmtId="0" fontId="12" fillId="0" borderId="29" xfId="41" applyFont="1" applyBorder="1" applyAlignment="1" applyProtection="1">
      <alignment vertical="center" wrapText="1"/>
      <protection/>
    </xf>
    <xf numFmtId="49" fontId="12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0" fontId="12" fillId="0" borderId="14" xfId="41" applyFont="1" applyBorder="1" applyAlignment="1" applyProtection="1">
      <alignment vertical="center" wrapText="1"/>
      <protection/>
    </xf>
    <xf numFmtId="0" fontId="11" fillId="0" borderId="12" xfId="41" applyFont="1" applyBorder="1" applyAlignment="1" applyProtection="1">
      <alignment vertical="center" wrapText="1"/>
      <protection/>
    </xf>
    <xf numFmtId="0" fontId="17" fillId="0" borderId="1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1" applyNumberFormat="1" applyFont="1" applyBorder="1" applyAlignment="1" applyProtection="1">
      <alignment vertical="center"/>
      <protection/>
    </xf>
    <xf numFmtId="1" fontId="10" fillId="0" borderId="10" xfId="41" applyNumberFormat="1" applyFont="1" applyBorder="1" applyProtection="1">
      <alignment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0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0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2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6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3" xfId="34" applyNumberFormat="1" applyFont="1" applyBorder="1" applyAlignment="1" applyProtection="1">
      <alignment horizontal="center" vertical="center" wrapText="1"/>
      <protection/>
    </xf>
    <xf numFmtId="1" fontId="11" fillId="0" borderId="16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6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2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0" fillId="0" borderId="0" xfId="38" applyNumberFormat="1" applyFont="1" applyProtection="1">
      <alignment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0" fontId="11" fillId="0" borderId="0" xfId="35" applyFont="1" applyAlignment="1" applyProtection="1">
      <alignment horizontal="center" vertical="center" wrapText="1"/>
      <protection locked="0"/>
    </xf>
    <xf numFmtId="49" fontId="20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0" fontId="19" fillId="0" borderId="0" xfId="38" applyFont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1" fillId="0" borderId="0" xfId="41" applyFont="1" applyBorder="1" applyAlignment="1" applyProtection="1">
      <alignment horizontal="right"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Protection="1">
      <alignment/>
      <protection locked="0"/>
    </xf>
    <xf numFmtId="0" fontId="18" fillId="0" borderId="0" xfId="41" applyFont="1" applyBorder="1" applyAlignment="1" applyProtection="1">
      <alignment vertical="center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24" fillId="37" borderId="10" xfId="39" applyFont="1" applyFill="1" applyBorder="1" applyAlignment="1" applyProtection="1">
      <alignment horizontal="left" vertical="top" wrapText="1"/>
      <protection/>
    </xf>
    <xf numFmtId="1" fontId="24" fillId="37" borderId="10" xfId="39" applyNumberFormat="1" applyFont="1" applyFill="1" applyBorder="1" applyAlignment="1" applyProtection="1">
      <alignment vertical="top" wrapText="1"/>
      <protection/>
    </xf>
    <xf numFmtId="0" fontId="24" fillId="37" borderId="37" xfId="39" applyFont="1" applyFill="1" applyBorder="1" applyAlignment="1" applyProtection="1">
      <alignment horizontal="left" vertical="top" wrapText="1"/>
      <protection/>
    </xf>
    <xf numFmtId="0" fontId="24" fillId="37" borderId="29" xfId="39" applyFont="1" applyFill="1" applyBorder="1" applyAlignment="1" applyProtection="1">
      <alignment vertical="top" wrapText="1"/>
      <protection/>
    </xf>
    <xf numFmtId="0" fontId="24" fillId="37" borderId="38" xfId="39" applyFont="1" applyFill="1" applyBorder="1" applyAlignment="1" applyProtection="1">
      <alignment vertical="top" wrapText="1"/>
      <protection/>
    </xf>
    <xf numFmtId="49" fontId="24" fillId="37" borderId="36" xfId="39" applyNumberFormat="1" applyFont="1" applyFill="1" applyBorder="1" applyAlignment="1" applyProtection="1">
      <alignment vertical="center" wrapText="1"/>
      <protection/>
    </xf>
    <xf numFmtId="0" fontId="24" fillId="37" borderId="10" xfId="39" applyFont="1" applyFill="1" applyBorder="1" applyAlignment="1" applyProtection="1">
      <alignment vertical="top" wrapText="1"/>
      <protection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11" fillId="0" borderId="0" xfId="42" applyFont="1" applyBorder="1" applyAlignment="1" applyProtection="1">
      <alignment horizontal="left" wrapText="1"/>
      <protection locked="0"/>
    </xf>
    <xf numFmtId="0" fontId="12" fillId="0" borderId="10" xfId="37" applyFont="1" applyBorder="1" applyAlignment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/>
      <protection/>
    </xf>
    <xf numFmtId="1" fontId="12" fillId="34" borderId="10" xfId="37" applyNumberFormat="1" applyFont="1" applyFill="1" applyBorder="1" applyAlignment="1" applyProtection="1">
      <alignment vertical="center"/>
      <protection locked="0"/>
    </xf>
    <xf numFmtId="1" fontId="12" fillId="34" borderId="10" xfId="37" applyNumberFormat="1" applyFont="1" applyFill="1" applyBorder="1" applyAlignment="1" applyProtection="1">
      <alignment horizontal="center" vertical="center"/>
      <protection locked="0"/>
    </xf>
    <xf numFmtId="0" fontId="20" fillId="0" borderId="0" xfId="38" applyFont="1" applyAlignment="1" applyProtection="1">
      <alignment/>
      <protection/>
    </xf>
    <xf numFmtId="0" fontId="11" fillId="0" borderId="0" xfId="35" applyFont="1" applyAlignment="1" applyProtection="1">
      <alignment horizontal="left" vertical="center" wrapText="1"/>
      <protection locked="0"/>
    </xf>
    <xf numFmtId="0" fontId="26" fillId="0" borderId="0" xfId="41" applyFont="1" applyAlignment="1" applyProtection="1">
      <alignment horizontal="left" wrapText="1"/>
      <protection locked="0"/>
    </xf>
    <xf numFmtId="3" fontId="11" fillId="0" borderId="16" xfId="41" applyNumberFormat="1" applyFont="1" applyFill="1" applyBorder="1" applyAlignment="1" applyProtection="1">
      <alignment vertical="center"/>
      <protection/>
    </xf>
    <xf numFmtId="0" fontId="12" fillId="0" borderId="32" xfId="39" applyFont="1" applyBorder="1" applyAlignment="1" applyProtection="1">
      <alignment horizontal="left" vertical="top" wrapText="1"/>
      <protection locked="0"/>
    </xf>
    <xf numFmtId="49" fontId="11" fillId="0" borderId="32" xfId="39" applyNumberFormat="1" applyFont="1" applyBorder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horizontal="left"/>
      <protection locked="0"/>
    </xf>
    <xf numFmtId="49" fontId="11" fillId="0" borderId="0" xfId="39" applyNumberFormat="1" applyFont="1" applyBorder="1" applyAlignment="1" applyProtection="1">
      <alignment horizontal="left" vertical="top" wrapText="1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7" fillId="0" borderId="10" xfId="39" applyFont="1" applyBorder="1" applyAlignment="1" applyProtection="1">
      <alignment horizontal="left" vertical="top"/>
      <protection locked="0"/>
    </xf>
    <xf numFmtId="0" fontId="12" fillId="0" borderId="0" xfId="37" applyFont="1" applyBorder="1" applyAlignment="1" applyProtection="1">
      <alignment horizontal="center" vertical="justify" wrapText="1"/>
      <protection locked="0"/>
    </xf>
    <xf numFmtId="49" fontId="11" fillId="0" borderId="0" xfId="37" applyNumberFormat="1" applyFont="1" applyAlignment="1" applyProtection="1">
      <alignment horizontal="center" vertical="justify"/>
      <protection locked="0"/>
    </xf>
    <xf numFmtId="49" fontId="11" fillId="0" borderId="0" xfId="37" applyNumberFormat="1" applyFont="1" applyBorder="1" applyAlignment="1" applyProtection="1">
      <alignment horizontal="center" vertical="justify"/>
      <protection locked="0"/>
    </xf>
    <xf numFmtId="0" fontId="9" fillId="0" borderId="0" xfId="37" applyFont="1" applyAlignment="1" applyProtection="1">
      <alignment horizontal="left"/>
      <protection locked="0"/>
    </xf>
    <xf numFmtId="0" fontId="20" fillId="0" borderId="0" xfId="38" applyFont="1" applyAlignment="1" applyProtection="1">
      <alignment horizontal="center"/>
      <protection/>
    </xf>
    <xf numFmtId="0" fontId="9" fillId="0" borderId="0" xfId="42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37" applyFont="1" applyAlignment="1" applyProtection="1">
      <alignment horizontal="left"/>
      <protection locked="0"/>
    </xf>
    <xf numFmtId="0" fontId="11" fillId="0" borderId="0" xfId="37" applyFont="1" applyBorder="1" applyAlignment="1" applyProtection="1">
      <alignment horizontal="left" vertical="justify" wrapText="1"/>
      <protection locked="0"/>
    </xf>
    <xf numFmtId="49" fontId="3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8" applyFont="1" applyAlignment="1" applyProtection="1">
      <alignment horizontal="right"/>
      <protection locked="0"/>
    </xf>
    <xf numFmtId="0" fontId="9" fillId="0" borderId="0" xfId="37" applyFont="1" applyAlignment="1" applyProtection="1">
      <alignment horizontal="right"/>
      <protection locked="0"/>
    </xf>
    <xf numFmtId="0" fontId="4" fillId="0" borderId="0" xfId="36" applyNumberFormat="1" applyFont="1" applyAlignment="1" applyProtection="1">
      <alignment horizontal="right" vertical="center" wrapText="1"/>
      <protection locked="0"/>
    </xf>
    <xf numFmtId="0" fontId="4" fillId="0" borderId="0" xfId="37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39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" fontId="12" fillId="35" borderId="10" xfId="37" applyNumberFormat="1" applyFont="1" applyFill="1" applyBorder="1" applyAlignment="1" applyProtection="1">
      <alignment vertical="center" wrapText="1"/>
      <protection locked="0"/>
    </xf>
    <xf numFmtId="0" fontId="11" fillId="0" borderId="0" xfId="42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36" applyNumberFormat="1" applyFont="1" applyBorder="1" applyAlignment="1">
      <alignment horizontal="right" vertical="center" wrapText="1"/>
      <protection/>
    </xf>
    <xf numFmtId="10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80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left" vertical="top"/>
      <protection locked="0"/>
    </xf>
    <xf numFmtId="14" fontId="7" fillId="0" borderId="0" xfId="39" applyNumberFormat="1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26" fillId="0" borderId="0" xfId="41" applyFont="1" applyAlignment="1" applyProtection="1">
      <alignment horizontal="left" wrapText="1"/>
      <protection locked="0"/>
    </xf>
    <xf numFmtId="0" fontId="12" fillId="0" borderId="0" xfId="40" applyFont="1" applyFill="1" applyAlignment="1" applyProtection="1">
      <alignment horizontal="center" wrapText="1"/>
      <protection locked="0"/>
    </xf>
    <xf numFmtId="0" fontId="11" fillId="0" borderId="0" xfId="42" applyFont="1" applyAlignment="1">
      <alignment horizontal="center" wrapText="1"/>
      <protection/>
    </xf>
    <xf numFmtId="0" fontId="11" fillId="0" borderId="0" xfId="42" applyFont="1" applyBorder="1" applyAlignment="1" applyProtection="1">
      <alignment horizontal="left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42" applyFont="1" applyAlignment="1">
      <alignment horizontal="left" vertical="top" wrapText="1"/>
      <protection/>
    </xf>
    <xf numFmtId="0" fontId="3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right"/>
      <protection locked="0"/>
    </xf>
    <xf numFmtId="0" fontId="12" fillId="0" borderId="0" xfId="37" applyFont="1" applyBorder="1" applyAlignment="1" applyProtection="1">
      <alignment horizontal="left" vertical="justify" wrapText="1"/>
      <protection locked="0"/>
    </xf>
    <xf numFmtId="0" fontId="12" fillId="0" borderId="0" xfId="37" applyFont="1" applyBorder="1" applyAlignment="1" applyProtection="1">
      <alignment horizontal="right" vertical="justify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32" xfId="39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37" applyFont="1" applyBorder="1" applyAlignment="1" applyProtection="1">
      <alignment horizontal="center" vertical="center" wrapText="1"/>
      <protection/>
    </xf>
    <xf numFmtId="0" fontId="11" fillId="0" borderId="24" xfId="37" applyFont="1" applyBorder="1" applyAlignment="1" applyProtection="1">
      <alignment horizontal="center" vertical="center" wrapText="1"/>
      <protection/>
    </xf>
    <xf numFmtId="0" fontId="11" fillId="0" borderId="23" xfId="37" applyFont="1" applyBorder="1" applyAlignment="1" applyProtection="1">
      <alignment horizontal="center" vertical="center" wrapText="1"/>
      <protection/>
    </xf>
    <xf numFmtId="0" fontId="11" fillId="0" borderId="25" xfId="37" applyFont="1" applyBorder="1" applyAlignment="1" applyProtection="1">
      <alignment horizontal="center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center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center" vertical="center" wrapText="1"/>
      <protection locked="0"/>
    </xf>
    <xf numFmtId="0" fontId="11" fillId="0" borderId="0" xfId="37" applyFont="1" applyAlignment="1" applyProtection="1">
      <alignment horizontal="left" vertical="justify" wrapText="1"/>
      <protection locked="0"/>
    </xf>
    <xf numFmtId="0" fontId="11" fillId="0" borderId="0" xfId="37" applyFont="1" applyAlignment="1" applyProtection="1">
      <alignment horizontal="left" vertical="justify"/>
      <protection locked="0"/>
    </xf>
    <xf numFmtId="1" fontId="11" fillId="0" borderId="0" xfId="35" applyNumberFormat="1" applyFont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36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C19" sqref="C19"/>
    </sheetView>
  </sheetViews>
  <sheetFormatPr defaultColWidth="9.25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888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6" t="s">
        <v>847</v>
      </c>
      <c r="F3" s="268" t="s">
        <v>1</v>
      </c>
      <c r="G3" s="221"/>
      <c r="H3" s="576">
        <v>831902088</v>
      </c>
    </row>
    <row r="4" spans="1:8" ht="28.5">
      <c r="A4" s="199" t="s">
        <v>2</v>
      </c>
      <c r="B4" s="564"/>
      <c r="C4" s="564"/>
      <c r="D4" s="565"/>
      <c r="E4" s="557" t="s">
        <v>878</v>
      </c>
      <c r="F4" s="219" t="s">
        <v>3</v>
      </c>
      <c r="G4" s="220"/>
      <c r="H4" s="576">
        <v>684</v>
      </c>
    </row>
    <row r="5" spans="1:8" ht="15">
      <c r="A5" s="199" t="s">
        <v>4</v>
      </c>
      <c r="B5" s="263"/>
      <c r="C5" s="263"/>
      <c r="D5" s="263"/>
      <c r="E5" s="577" t="s">
        <v>891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6" t="s">
        <v>15</v>
      </c>
      <c r="B9" s="280"/>
      <c r="C9" s="281"/>
      <c r="D9" s="282"/>
      <c r="E9" s="534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40761</v>
      </c>
      <c r="D11" s="200">
        <v>40754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84986</v>
      </c>
      <c r="D12" s="200">
        <v>86030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52250</v>
      </c>
      <c r="D13" s="200">
        <v>53596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2817</v>
      </c>
      <c r="D14" s="200">
        <v>2870</v>
      </c>
      <c r="E14" s="294" t="s">
        <v>33</v>
      </c>
      <c r="F14" s="293" t="s">
        <v>34</v>
      </c>
      <c r="G14" s="386">
        <v>-11496</v>
      </c>
      <c r="H14" s="386">
        <v>-11463</v>
      </c>
    </row>
    <row r="15" spans="1:8" ht="15">
      <c r="A15" s="286" t="s">
        <v>35</v>
      </c>
      <c r="B15" s="292" t="s">
        <v>36</v>
      </c>
      <c r="C15" s="200">
        <v>11007</v>
      </c>
      <c r="D15" s="200">
        <v>11278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5100</v>
      </c>
      <c r="D16" s="200">
        <v>5343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45357</v>
      </c>
      <c r="D17" s="200">
        <v>36467</v>
      </c>
      <c r="E17" s="294" t="s">
        <v>45</v>
      </c>
      <c r="F17" s="296" t="s">
        <v>46</v>
      </c>
      <c r="G17" s="203">
        <f>G11+G14+G15+G16</f>
        <v>120504</v>
      </c>
      <c r="H17" s="203">
        <f>H11+H14+H15+H16</f>
        <v>120537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242278</v>
      </c>
      <c r="D19" s="204">
        <f>SUM(D11:D18)</f>
        <v>236338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6553</v>
      </c>
      <c r="D20" s="200">
        <v>6555</v>
      </c>
      <c r="E20" s="288" t="s">
        <v>56</v>
      </c>
      <c r="F20" s="293" t="s">
        <v>57</v>
      </c>
      <c r="G20" s="207">
        <v>23038</v>
      </c>
      <c r="H20" s="207">
        <v>23142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176296</v>
      </c>
      <c r="H21" s="205">
        <f>SUM(H22:H24)</f>
        <v>137916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21855</v>
      </c>
      <c r="H22" s="201">
        <v>21855</v>
      </c>
    </row>
    <row r="23" spans="1:13" ht="15">
      <c r="A23" s="286" t="s">
        <v>65</v>
      </c>
      <c r="B23" s="292" t="s">
        <v>66</v>
      </c>
      <c r="C23" s="200">
        <v>6724</v>
      </c>
      <c r="D23" s="200">
        <v>6752</v>
      </c>
      <c r="E23" s="304" t="s">
        <v>67</v>
      </c>
      <c r="F23" s="293" t="s">
        <v>68</v>
      </c>
      <c r="G23" s="201"/>
      <c r="H23" s="201"/>
      <c r="M23" s="206"/>
    </row>
    <row r="24" spans="1:8" ht="15">
      <c r="A24" s="286" t="s">
        <v>69</v>
      </c>
      <c r="B24" s="292" t="s">
        <v>70</v>
      </c>
      <c r="C24" s="200">
        <v>2946</v>
      </c>
      <c r="D24" s="200">
        <v>2968</v>
      </c>
      <c r="E24" s="288" t="s">
        <v>71</v>
      </c>
      <c r="F24" s="293" t="s">
        <v>72</v>
      </c>
      <c r="G24" s="201">
        <v>154441</v>
      </c>
      <c r="H24" s="201">
        <v>116061</v>
      </c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199334</v>
      </c>
      <c r="H25" s="203">
        <f>H19+H20+H21</f>
        <v>161058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v>4352</v>
      </c>
      <c r="D26" s="200">
        <v>3478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14022</v>
      </c>
      <c r="D27" s="204">
        <f>SUM(D23:D26)</f>
        <v>13198</v>
      </c>
      <c r="E27" s="304" t="s">
        <v>82</v>
      </c>
      <c r="F27" s="293" t="s">
        <v>83</v>
      </c>
      <c r="G27" s="203">
        <f>SUM(G28:G30)</f>
        <v>0</v>
      </c>
      <c r="H27" s="203">
        <f>SUM(H28:H30)</f>
        <v>0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/>
      <c r="H28" s="201"/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14741</v>
      </c>
      <c r="D30" s="200">
        <v>14781</v>
      </c>
      <c r="E30" s="288" t="s">
        <v>91</v>
      </c>
      <c r="F30" s="293" t="s">
        <v>92</v>
      </c>
      <c r="G30" s="207"/>
      <c r="H30" s="207"/>
    </row>
    <row r="31" spans="1:13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v>11333</v>
      </c>
      <c r="H31" s="201">
        <v>38404</v>
      </c>
      <c r="M31" s="206"/>
    </row>
    <row r="32" spans="1:15" ht="15">
      <c r="A32" s="286" t="s">
        <v>97</v>
      </c>
      <c r="B32" s="301" t="s">
        <v>98</v>
      </c>
      <c r="C32" s="204">
        <f>C30+C31</f>
        <v>14741</v>
      </c>
      <c r="D32" s="204">
        <f>D30+D31</f>
        <v>14781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11333</v>
      </c>
      <c r="H33" s="203">
        <f>H27+H31+H32</f>
        <v>38404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837</v>
      </c>
      <c r="B34" s="295" t="s">
        <v>104</v>
      </c>
      <c r="C34" s="204">
        <f>SUM(C35:C38)</f>
        <v>20245</v>
      </c>
      <c r="D34" s="204">
        <f>SUM(D35:D38)</f>
        <v>19972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331171</v>
      </c>
      <c r="H36" s="203">
        <f>H25+H17+H33</f>
        <v>319999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/>
      <c r="D37" s="200">
        <v>0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20245</v>
      </c>
      <c r="D38" s="200">
        <v>19972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5" t="s">
        <v>117</v>
      </c>
      <c r="F39" s="312" t="s">
        <v>118</v>
      </c>
      <c r="G39" s="207">
        <v>46522</v>
      </c>
      <c r="H39" s="207">
        <v>45813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5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24179</v>
      </c>
      <c r="H44" s="201">
        <v>23280</v>
      </c>
    </row>
    <row r="45" spans="1:15" ht="15">
      <c r="A45" s="286" t="s">
        <v>135</v>
      </c>
      <c r="B45" s="300" t="s">
        <v>136</v>
      </c>
      <c r="C45" s="204">
        <f>C34+C39+C44</f>
        <v>20245</v>
      </c>
      <c r="D45" s="204">
        <f>D34+D39+D44</f>
        <v>19972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3" ht="15">
      <c r="A47" s="286" t="s">
        <v>142</v>
      </c>
      <c r="B47" s="292" t="s">
        <v>143</v>
      </c>
      <c r="C47" s="200">
        <v>736</v>
      </c>
      <c r="D47" s="200">
        <v>729</v>
      </c>
      <c r="E47" s="302" t="s">
        <v>144</v>
      </c>
      <c r="F47" s="293" t="s">
        <v>145</v>
      </c>
      <c r="G47" s="201"/>
      <c r="H47" s="201"/>
      <c r="M47" s="206"/>
    </row>
    <row r="48" spans="1:8" ht="15">
      <c r="A48" s="286" t="s">
        <v>146</v>
      </c>
      <c r="B48" s="295" t="s">
        <v>147</v>
      </c>
      <c r="C48" s="200"/>
      <c r="D48" s="200"/>
      <c r="E48" s="288" t="s">
        <v>148</v>
      </c>
      <c r="F48" s="293" t="s">
        <v>149</v>
      </c>
      <c r="G48" s="201">
        <v>4474</v>
      </c>
      <c r="H48" s="201">
        <f>1534+1368</f>
        <v>2902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28653</v>
      </c>
      <c r="H49" s="203">
        <f>SUM(H43:H48)</f>
        <v>26182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>
        <v>828</v>
      </c>
      <c r="D50" s="200">
        <v>848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1564</v>
      </c>
      <c r="D51" s="204">
        <f>SUM(D47:D50)</f>
        <v>1577</v>
      </c>
      <c r="E51" s="302" t="s">
        <v>156</v>
      </c>
      <c r="F51" s="296" t="s">
        <v>157</v>
      </c>
      <c r="G51" s="201">
        <v>2430</v>
      </c>
      <c r="H51" s="201">
        <v>2389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7803</v>
      </c>
      <c r="H53" s="201">
        <v>6531</v>
      </c>
    </row>
    <row r="54" spans="1:8" ht="15">
      <c r="A54" s="286" t="s">
        <v>165</v>
      </c>
      <c r="B54" s="300" t="s">
        <v>166</v>
      </c>
      <c r="C54" s="200">
        <v>2150</v>
      </c>
      <c r="D54" s="200">
        <v>1709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301553</v>
      </c>
      <c r="D55" s="204">
        <f>D19+D20+D21+D27+D32+D45+D51+D53+D54</f>
        <v>294130</v>
      </c>
      <c r="E55" s="288" t="s">
        <v>171</v>
      </c>
      <c r="F55" s="312" t="s">
        <v>172</v>
      </c>
      <c r="G55" s="203">
        <f>G49+G51+G52+G53+G54</f>
        <v>38886</v>
      </c>
      <c r="H55" s="203">
        <f>H49+H51+H52+H53+H54</f>
        <v>35102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40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23237</v>
      </c>
      <c r="D58" s="200">
        <v>26142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40688</v>
      </c>
      <c r="D59" s="200">
        <f>38409+3813</f>
        <v>42222</v>
      </c>
      <c r="E59" s="302" t="s">
        <v>180</v>
      </c>
      <c r="F59" s="293" t="s">
        <v>181</v>
      </c>
      <c r="G59" s="201">
        <v>149781</v>
      </c>
      <c r="H59" s="201">
        <v>151765</v>
      </c>
      <c r="M59" s="206"/>
    </row>
    <row r="60" spans="1:8" ht="15">
      <c r="A60" s="286" t="s">
        <v>182</v>
      </c>
      <c r="B60" s="292" t="s">
        <v>183</v>
      </c>
      <c r="C60" s="200">
        <v>49297</v>
      </c>
      <c r="D60" s="200">
        <v>53256</v>
      </c>
      <c r="E60" s="288" t="s">
        <v>184</v>
      </c>
      <c r="F60" s="293" t="s">
        <v>185</v>
      </c>
      <c r="G60" s="201">
        <v>43401</v>
      </c>
      <c r="H60" s="201">
        <v>42650</v>
      </c>
    </row>
    <row r="61" spans="1:18" ht="15">
      <c r="A61" s="286" t="s">
        <v>186</v>
      </c>
      <c r="B61" s="295" t="s">
        <v>187</v>
      </c>
      <c r="C61" s="200">
        <v>6952</v>
      </c>
      <c r="D61" s="200">
        <f>4402</f>
        <v>4402</v>
      </c>
      <c r="E61" s="294" t="s">
        <v>188</v>
      </c>
      <c r="F61" s="323" t="s">
        <v>189</v>
      </c>
      <c r="G61" s="203">
        <f>SUM(G62:G68)</f>
        <v>63560</v>
      </c>
      <c r="H61" s="203">
        <f>SUM(H62:H68)</f>
        <v>77925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4433</v>
      </c>
      <c r="H62" s="201">
        <v>3360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>
        <v>0</v>
      </c>
      <c r="H63" s="201">
        <v>0</v>
      </c>
      <c r="M63" s="206"/>
    </row>
    <row r="64" spans="1:15" ht="15">
      <c r="A64" s="286" t="s">
        <v>50</v>
      </c>
      <c r="B64" s="300" t="s">
        <v>198</v>
      </c>
      <c r="C64" s="204">
        <f>SUM(C58:C63)</f>
        <v>120174</v>
      </c>
      <c r="D64" s="204">
        <f>SUM(D58:D63)</f>
        <v>126022</v>
      </c>
      <c r="E64" s="288" t="s">
        <v>199</v>
      </c>
      <c r="F64" s="293" t="s">
        <v>200</v>
      </c>
      <c r="G64" s="201">
        <v>48430</v>
      </c>
      <c r="H64" s="201">
        <v>62605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1597</v>
      </c>
      <c r="H65" s="201">
        <v>3427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4739</v>
      </c>
      <c r="H66" s="201">
        <v>4339</v>
      </c>
    </row>
    <row r="67" spans="1:8" ht="15">
      <c r="A67" s="286" t="s">
        <v>206</v>
      </c>
      <c r="B67" s="292" t="s">
        <v>207</v>
      </c>
      <c r="C67" s="200">
        <v>64388</v>
      </c>
      <c r="D67" s="200">
        <v>63113</v>
      </c>
      <c r="E67" s="288" t="s">
        <v>208</v>
      </c>
      <c r="F67" s="293" t="s">
        <v>209</v>
      </c>
      <c r="G67" s="201">
        <v>1223</v>
      </c>
      <c r="H67" s="201">
        <v>1148</v>
      </c>
    </row>
    <row r="68" spans="1:8" ht="15">
      <c r="A68" s="286" t="s">
        <v>210</v>
      </c>
      <c r="B68" s="292" t="s">
        <v>211</v>
      </c>
      <c r="C68" s="200">
        <v>139363</v>
      </c>
      <c r="D68" s="200">
        <v>131493</v>
      </c>
      <c r="E68" s="288" t="s">
        <v>212</v>
      </c>
      <c r="F68" s="293" t="s">
        <v>213</v>
      </c>
      <c r="G68" s="201">
        <v>3138</v>
      </c>
      <c r="H68" s="201">
        <v>3046</v>
      </c>
    </row>
    <row r="69" spans="1:8" ht="15">
      <c r="A69" s="286" t="s">
        <v>214</v>
      </c>
      <c r="B69" s="292" t="s">
        <v>215</v>
      </c>
      <c r="C69" s="200">
        <v>8708</v>
      </c>
      <c r="D69" s="200">
        <v>5263</v>
      </c>
      <c r="E69" s="302" t="s">
        <v>77</v>
      </c>
      <c r="F69" s="293" t="s">
        <v>216</v>
      </c>
      <c r="G69" s="201">
        <v>2748</v>
      </c>
      <c r="H69" s="201">
        <v>3232</v>
      </c>
    </row>
    <row r="70" spans="1:8" ht="15">
      <c r="A70" s="286" t="s">
        <v>217</v>
      </c>
      <c r="B70" s="292" t="s">
        <v>218</v>
      </c>
      <c r="C70" s="200">
        <v>1470</v>
      </c>
      <c r="D70" s="200">
        <v>1239</v>
      </c>
      <c r="E70" s="288" t="s">
        <v>219</v>
      </c>
      <c r="F70" s="293" t="s">
        <v>220</v>
      </c>
      <c r="G70" s="201">
        <v>99</v>
      </c>
      <c r="H70" s="201">
        <v>102</v>
      </c>
    </row>
    <row r="71" spans="1:18" ht="15">
      <c r="A71" s="286" t="s">
        <v>221</v>
      </c>
      <c r="B71" s="292" t="s">
        <v>222</v>
      </c>
      <c r="C71" s="200">
        <v>14264</v>
      </c>
      <c r="D71" s="200">
        <v>14502</v>
      </c>
      <c r="E71" s="304" t="s">
        <v>45</v>
      </c>
      <c r="F71" s="324" t="s">
        <v>223</v>
      </c>
      <c r="G71" s="210">
        <f>G59+G60+G61+G69+G70</f>
        <v>259589</v>
      </c>
      <c r="H71" s="210">
        <f>H59+H60+H61+H69+H70</f>
        <v>275674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7496</v>
      </c>
      <c r="D72" s="200">
        <v>5657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>
        <v>0</v>
      </c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1024</v>
      </c>
      <c r="D74" s="200">
        <f>24+508+275+197</f>
        <v>1004</v>
      </c>
      <c r="E74" s="288" t="s">
        <v>230</v>
      </c>
      <c r="F74" s="331" t="s">
        <v>231</v>
      </c>
      <c r="G74" s="201"/>
      <c r="H74" s="201"/>
    </row>
    <row r="75" spans="1:15" ht="15">
      <c r="A75" s="286" t="s">
        <v>75</v>
      </c>
      <c r="B75" s="300" t="s">
        <v>232</v>
      </c>
      <c r="C75" s="204">
        <f>SUM(C67:C74)</f>
        <v>236713</v>
      </c>
      <c r="D75" s="204">
        <f>SUM(D67:D74)</f>
        <v>222271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259589</v>
      </c>
      <c r="H79" s="211">
        <f>H71+H74+H75+H76</f>
        <v>275674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v>438</v>
      </c>
      <c r="D87" s="200">
        <v>291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12244</v>
      </c>
      <c r="D88" s="200">
        <f>18755</f>
        <v>18755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v>3412</v>
      </c>
      <c r="D89" s="200">
        <f>13114+75</f>
        <v>13189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16094</v>
      </c>
      <c r="D91" s="204">
        <f>SUM(D87:D90)</f>
        <v>32235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1634</v>
      </c>
      <c r="D92" s="200">
        <v>1930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374615</v>
      </c>
      <c r="D93" s="204">
        <f>D64+D75+D84+D91+D92</f>
        <v>382458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267</v>
      </c>
      <c r="B94" s="339" t="s">
        <v>268</v>
      </c>
      <c r="C94" s="213">
        <f>C93+C55</f>
        <v>676168</v>
      </c>
      <c r="D94" s="213">
        <f>D93+D55</f>
        <v>676588</v>
      </c>
      <c r="E94" s="539" t="s">
        <v>269</v>
      </c>
      <c r="F94" s="340" t="s">
        <v>270</v>
      </c>
      <c r="G94" s="214">
        <f>G36+G39+G55+G79</f>
        <v>676168</v>
      </c>
      <c r="H94" s="214">
        <f>H36+H39+H55+H79</f>
        <v>676588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838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892</v>
      </c>
      <c r="B98" s="522"/>
      <c r="C98" s="587" t="s">
        <v>848</v>
      </c>
      <c r="D98" s="587"/>
      <c r="E98" s="587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87" t="s">
        <v>849</v>
      </c>
      <c r="D100" s="588"/>
      <c r="E100" s="588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B44" sqref="B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889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0</v>
      </c>
      <c r="B2" s="516"/>
      <c r="C2" s="516"/>
      <c r="D2" s="516"/>
      <c r="E2" s="516" t="str">
        <f>'справка №1-БАЛАНС'!E3</f>
        <v>СОФАРМА АД</v>
      </c>
      <c r="F2" s="591" t="s">
        <v>1</v>
      </c>
      <c r="G2" s="591"/>
      <c r="H2" s="348">
        <f>'справка №1-БАЛАНС'!H3</f>
        <v>831902088</v>
      </c>
    </row>
    <row r="3" spans="1:8" ht="15">
      <c r="A3" s="6" t="s">
        <v>271</v>
      </c>
      <c r="B3" s="516"/>
      <c r="C3" s="516"/>
      <c r="D3" s="516"/>
      <c r="E3" s="516" t="str">
        <f>'справка №1-БАЛАНС'!E4</f>
        <v>КОНСОЛИДИРАН </v>
      </c>
      <c r="F3" s="550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52"/>
      <c r="C4" s="552"/>
      <c r="D4" s="552"/>
      <c r="E4" s="516" t="str">
        <f>'справка №1-БАЛАНС'!E5</f>
        <v>01.01.-31.03.2012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25166</v>
      </c>
      <c r="D9" s="78">
        <v>21314</v>
      </c>
      <c r="E9" s="358" t="s">
        <v>281</v>
      </c>
      <c r="F9" s="360" t="s">
        <v>282</v>
      </c>
      <c r="G9" s="86">
        <v>67496</v>
      </c>
      <c r="H9" s="86">
        <v>60379</v>
      </c>
    </row>
    <row r="10" spans="1:8" ht="12">
      <c r="A10" s="358" t="s">
        <v>283</v>
      </c>
      <c r="B10" s="359" t="s">
        <v>284</v>
      </c>
      <c r="C10" s="78">
        <v>13235</v>
      </c>
      <c r="D10" s="78">
        <v>12601</v>
      </c>
      <c r="E10" s="358" t="s">
        <v>285</v>
      </c>
      <c r="F10" s="360" t="s">
        <v>286</v>
      </c>
      <c r="G10" s="86">
        <v>105671</v>
      </c>
      <c r="H10" s="86">
        <v>104422</v>
      </c>
    </row>
    <row r="11" spans="1:8" ht="12">
      <c r="A11" s="358" t="s">
        <v>287</v>
      </c>
      <c r="B11" s="359" t="s">
        <v>288</v>
      </c>
      <c r="C11" s="78">
        <v>4585</v>
      </c>
      <c r="D11" s="78">
        <v>4230</v>
      </c>
      <c r="E11" s="361" t="s">
        <v>289</v>
      </c>
      <c r="F11" s="360" t="s">
        <v>290</v>
      </c>
      <c r="G11" s="86">
        <v>423</v>
      </c>
      <c r="H11" s="86">
        <v>285</v>
      </c>
    </row>
    <row r="12" spans="1:8" ht="12">
      <c r="A12" s="358" t="s">
        <v>291</v>
      </c>
      <c r="B12" s="359" t="s">
        <v>292</v>
      </c>
      <c r="C12" s="78">
        <v>12937</v>
      </c>
      <c r="D12" s="78">
        <v>12226</v>
      </c>
      <c r="E12" s="361" t="s">
        <v>77</v>
      </c>
      <c r="F12" s="360" t="s">
        <v>293</v>
      </c>
      <c r="G12" s="86">
        <v>715</v>
      </c>
      <c r="H12" s="86">
        <v>328</v>
      </c>
    </row>
    <row r="13" spans="1:18" ht="12">
      <c r="A13" s="358" t="s">
        <v>294</v>
      </c>
      <c r="B13" s="359" t="s">
        <v>295</v>
      </c>
      <c r="C13" s="78">
        <v>3373</v>
      </c>
      <c r="D13" s="78">
        <v>3010</v>
      </c>
      <c r="E13" s="362" t="s">
        <v>50</v>
      </c>
      <c r="F13" s="363" t="s">
        <v>296</v>
      </c>
      <c r="G13" s="87">
        <f>SUM(G9:G12)</f>
        <v>174305</v>
      </c>
      <c r="H13" s="87">
        <f>SUM(H9:H12)</f>
        <v>165414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v>97595</v>
      </c>
      <c r="D14" s="78">
        <v>95792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-1609</v>
      </c>
      <c r="D15" s="79">
        <v>785</v>
      </c>
      <c r="E15" s="356" t="s">
        <v>301</v>
      </c>
      <c r="F15" s="365" t="s">
        <v>302</v>
      </c>
      <c r="G15" s="86">
        <v>90</v>
      </c>
      <c r="H15" s="86">
        <v>20</v>
      </c>
    </row>
    <row r="16" spans="1:8" ht="12">
      <c r="A16" s="358" t="s">
        <v>303</v>
      </c>
      <c r="B16" s="359" t="s">
        <v>304</v>
      </c>
      <c r="C16" s="79">
        <v>1764</v>
      </c>
      <c r="D16" s="79">
        <v>1947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>
        <v>274</v>
      </c>
      <c r="D17" s="80">
        <v>691</v>
      </c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157046</v>
      </c>
      <c r="D19" s="81">
        <f>SUM(D9:D15)+D16</f>
        <v>151905</v>
      </c>
      <c r="E19" s="368" t="s">
        <v>313</v>
      </c>
      <c r="F19" s="364" t="s">
        <v>314</v>
      </c>
      <c r="G19" s="86">
        <v>1185</v>
      </c>
      <c r="H19" s="86">
        <v>1411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/>
      <c r="H20" s="86"/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/>
      <c r="H21" s="86">
        <v>101</v>
      </c>
    </row>
    <row r="22" spans="1:8" ht="24">
      <c r="A22" s="355" t="s">
        <v>320</v>
      </c>
      <c r="B22" s="370" t="s">
        <v>321</v>
      </c>
      <c r="C22" s="78">
        <v>1696</v>
      </c>
      <c r="D22" s="78">
        <v>2005</v>
      </c>
      <c r="E22" s="368" t="s">
        <v>322</v>
      </c>
      <c r="F22" s="364" t="s">
        <v>323</v>
      </c>
      <c r="G22" s="86"/>
      <c r="H22" s="86"/>
    </row>
    <row r="23" spans="1:8" ht="24">
      <c r="A23" s="358" t="s">
        <v>324</v>
      </c>
      <c r="B23" s="370" t="s">
        <v>325</v>
      </c>
      <c r="C23" s="78">
        <v>7</v>
      </c>
      <c r="D23" s="78">
        <v>7</v>
      </c>
      <c r="E23" s="358" t="s">
        <v>326</v>
      </c>
      <c r="F23" s="364" t="s">
        <v>327</v>
      </c>
      <c r="G23" s="86"/>
      <c r="H23" s="86"/>
    </row>
    <row r="24" spans="1:18" ht="12">
      <c r="A24" s="358" t="s">
        <v>328</v>
      </c>
      <c r="B24" s="370" t="s">
        <v>329</v>
      </c>
      <c r="C24" s="78">
        <v>560</v>
      </c>
      <c r="D24" s="78">
        <v>504</v>
      </c>
      <c r="E24" s="362" t="s">
        <v>102</v>
      </c>
      <c r="F24" s="365" t="s">
        <v>330</v>
      </c>
      <c r="G24" s="87">
        <f>SUM(G19:G23)</f>
        <v>1185</v>
      </c>
      <c r="H24" s="87">
        <f>SUM(H19:H23)</f>
        <v>1512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f>175+2223</f>
        <v>2398</v>
      </c>
      <c r="D25" s="78">
        <v>194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4661</v>
      </c>
      <c r="D26" s="81">
        <f>SUM(D22:D25)</f>
        <v>2710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161707</v>
      </c>
      <c r="D28" s="82">
        <f>D26+D19</f>
        <v>154615</v>
      </c>
      <c r="E28" s="173" t="s">
        <v>335</v>
      </c>
      <c r="F28" s="365" t="s">
        <v>336</v>
      </c>
      <c r="G28" s="87">
        <f>G13+G15+G24</f>
        <v>175580</v>
      </c>
      <c r="H28" s="87">
        <f>H13+H15+H24</f>
        <v>166946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13873</v>
      </c>
      <c r="D30" s="82">
        <f>IF((H28-D28)&gt;0,H28-D28,0)</f>
        <v>12331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839</v>
      </c>
      <c r="B31" s="371" t="s">
        <v>341</v>
      </c>
      <c r="C31" s="78"/>
      <c r="D31" s="78"/>
      <c r="E31" s="356" t="s">
        <v>842</v>
      </c>
      <c r="F31" s="364" t="s">
        <v>342</v>
      </c>
      <c r="G31" s="86"/>
      <c r="H31" s="86"/>
    </row>
    <row r="32" spans="1:8" ht="12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 ht="12">
      <c r="A33" s="374" t="s">
        <v>347</v>
      </c>
      <c r="B33" s="371" t="s">
        <v>348</v>
      </c>
      <c r="C33" s="81">
        <f>C28-C31+C32</f>
        <v>161707</v>
      </c>
      <c r="D33" s="81">
        <f>D28-D31+D32</f>
        <v>154615</v>
      </c>
      <c r="E33" s="173" t="s">
        <v>349</v>
      </c>
      <c r="F33" s="365" t="s">
        <v>350</v>
      </c>
      <c r="G33" s="89">
        <f>G32-G31+G28</f>
        <v>175580</v>
      </c>
      <c r="H33" s="89">
        <f>H32-H31+H28</f>
        <v>166946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13873</v>
      </c>
      <c r="D34" s="82">
        <f>IF((H33-D33)&gt;0,H33-D33,0)</f>
        <v>12331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1747</v>
      </c>
      <c r="D35" s="81">
        <f>D36+D37+D38</f>
        <v>1472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v>1747</v>
      </c>
      <c r="D36" s="78">
        <v>1472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20"/>
      <c r="D37" s="520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51">
        <f>+IF((G33-C33-C35)&gt;0,G33-C33-C35,0)</f>
        <v>12126</v>
      </c>
      <c r="D39" s="551">
        <f>+IF((H33-D33-D35)&gt;0,H33-D33-D35,0)</f>
        <v>10859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v>793</v>
      </c>
      <c r="D40" s="83">
        <v>242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11333</v>
      </c>
      <c r="D41" s="84">
        <f>IF(H39=0,IF(D39-D40&gt;0,D39-D40+H40,0),IF(H39-H40&lt;0,H40-H39+D39,0))</f>
        <v>10617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175580</v>
      </c>
      <c r="D42" s="85">
        <f>D33+D35+D39</f>
        <v>166946</v>
      </c>
      <c r="E42" s="176" t="s">
        <v>376</v>
      </c>
      <c r="F42" s="177" t="s">
        <v>377</v>
      </c>
      <c r="G42" s="89">
        <f>G39+G33</f>
        <v>175580</v>
      </c>
      <c r="H42" s="89">
        <f>H39+H33</f>
        <v>166946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378</v>
      </c>
      <c r="B44" s="580">
        <v>41057</v>
      </c>
      <c r="C44" s="515" t="s">
        <v>810</v>
      </c>
      <c r="D44" s="589"/>
      <c r="E44" s="589"/>
      <c r="F44" s="589"/>
      <c r="G44" s="589"/>
      <c r="H44" s="589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 t="s">
        <v>852</v>
      </c>
      <c r="E45" s="513"/>
      <c r="F45" s="513"/>
      <c r="G45" s="517"/>
      <c r="H45" s="517"/>
    </row>
    <row r="46" spans="1:8" ht="12.75" customHeight="1">
      <c r="A46" s="31"/>
      <c r="B46" s="518"/>
      <c r="C46" s="516" t="s">
        <v>773</v>
      </c>
      <c r="D46" s="590"/>
      <c r="E46" s="590"/>
      <c r="F46" s="590"/>
      <c r="G46" s="590"/>
      <c r="H46" s="590"/>
    </row>
    <row r="47" spans="1:8" ht="12">
      <c r="A47" s="29"/>
      <c r="B47" s="513"/>
      <c r="C47" s="514"/>
      <c r="D47" s="514" t="s">
        <v>853</v>
      </c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3.87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890</v>
      </c>
      <c r="B1" s="390" t="s">
        <v>865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866</v>
      </c>
      <c r="B4" s="584"/>
      <c r="C4" s="268" t="s">
        <v>1</v>
      </c>
      <c r="D4" s="268">
        <v>831902008</v>
      </c>
    </row>
    <row r="5" spans="1:4" ht="15">
      <c r="A5" s="199" t="s">
        <v>879</v>
      </c>
      <c r="B5" s="585"/>
      <c r="C5" s="219" t="s">
        <v>3</v>
      </c>
      <c r="D5" s="219">
        <v>684</v>
      </c>
    </row>
    <row r="6" spans="1:4" ht="15">
      <c r="A6" s="199" t="s">
        <v>899</v>
      </c>
      <c r="B6" s="586"/>
      <c r="C6" s="219"/>
      <c r="D6" s="220"/>
    </row>
    <row r="7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381</v>
      </c>
      <c r="B10" s="395"/>
      <c r="C10" s="92"/>
      <c r="D10" s="92"/>
    </row>
    <row r="11" spans="1:4" ht="12.75">
      <c r="A11" s="396" t="s">
        <v>382</v>
      </c>
      <c r="B11" s="397" t="s">
        <v>383</v>
      </c>
      <c r="C11" s="91">
        <v>187595</v>
      </c>
      <c r="D11" s="91">
        <v>196514</v>
      </c>
    </row>
    <row r="12" spans="1:4" ht="12.75">
      <c r="A12" s="396" t="s">
        <v>384</v>
      </c>
      <c r="B12" s="397" t="s">
        <v>385</v>
      </c>
      <c r="C12" s="91">
        <v>-163769</v>
      </c>
      <c r="D12" s="91">
        <v>-144876</v>
      </c>
    </row>
    <row r="13" spans="1:4" ht="24">
      <c r="A13" s="396" t="s">
        <v>386</v>
      </c>
      <c r="B13" s="397" t="s">
        <v>387</v>
      </c>
      <c r="C13" s="91">
        <v>0</v>
      </c>
      <c r="D13" s="91">
        <v>0</v>
      </c>
    </row>
    <row r="14" spans="1:4" ht="12.75">
      <c r="A14" s="396" t="s">
        <v>388</v>
      </c>
      <c r="B14" s="397" t="s">
        <v>389</v>
      </c>
      <c r="C14" s="91">
        <v>-15195</v>
      </c>
      <c r="D14" s="91">
        <v>-13422</v>
      </c>
    </row>
    <row r="15" spans="1:4" ht="24">
      <c r="A15" s="396" t="s">
        <v>390</v>
      </c>
      <c r="B15" s="397" t="s">
        <v>391</v>
      </c>
      <c r="C15" s="91">
        <f>-10234+1986</f>
        <v>-8248</v>
      </c>
      <c r="D15" s="91">
        <f>-10758+2110</f>
        <v>-8648</v>
      </c>
    </row>
    <row r="16" spans="1:4" ht="12.75">
      <c r="A16" s="398" t="s">
        <v>392</v>
      </c>
      <c r="B16" s="397" t="s">
        <v>393</v>
      </c>
      <c r="C16" s="91">
        <v>-1784</v>
      </c>
      <c r="D16" s="91">
        <v>-1969</v>
      </c>
    </row>
    <row r="17" spans="1:4" ht="12.75">
      <c r="A17" s="396" t="s">
        <v>394</v>
      </c>
      <c r="B17" s="397" t="s">
        <v>395</v>
      </c>
      <c r="C17" s="91">
        <v>0</v>
      </c>
      <c r="D17" s="91">
        <v>0</v>
      </c>
    </row>
    <row r="18" spans="1:4" ht="24">
      <c r="A18" s="396" t="s">
        <v>396</v>
      </c>
      <c r="B18" s="397" t="s">
        <v>397</v>
      </c>
      <c r="C18" s="91">
        <v>-2173</v>
      </c>
      <c r="D18" s="91">
        <v>-2222</v>
      </c>
    </row>
    <row r="19" spans="1:4" ht="12.75">
      <c r="A19" s="398" t="s">
        <v>398</v>
      </c>
      <c r="B19" s="399" t="s">
        <v>399</v>
      </c>
      <c r="C19" s="91">
        <v>-360</v>
      </c>
      <c r="D19" s="91">
        <v>-307</v>
      </c>
    </row>
    <row r="20" spans="1:4" ht="12.75">
      <c r="A20" s="396" t="s">
        <v>400</v>
      </c>
      <c r="B20" s="397" t="s">
        <v>401</v>
      </c>
      <c r="C20" s="91">
        <v>-725</v>
      </c>
      <c r="D20" s="91">
        <v>-638</v>
      </c>
    </row>
    <row r="21" spans="1:4" ht="12.75">
      <c r="A21" s="400" t="s">
        <v>402</v>
      </c>
      <c r="B21" s="401" t="s">
        <v>403</v>
      </c>
      <c r="C21" s="92">
        <f>SUM(C11:C20)</f>
        <v>-4659</v>
      </c>
      <c r="D21" s="92">
        <f>SUM(D11:D20)</f>
        <v>24432</v>
      </c>
    </row>
    <row r="22" spans="1:4" ht="12.75">
      <c r="A22" s="394" t="s">
        <v>404</v>
      </c>
      <c r="B22" s="402"/>
      <c r="C22" s="403"/>
      <c r="D22" s="403"/>
    </row>
    <row r="23" spans="1:4" ht="12.75">
      <c r="A23" s="396" t="s">
        <v>405</v>
      </c>
      <c r="B23" s="397" t="s">
        <v>406</v>
      </c>
      <c r="C23" s="91">
        <f>-10327-802</f>
        <v>-11129</v>
      </c>
      <c r="D23" s="91">
        <f>-8663-25</f>
        <v>-8688</v>
      </c>
    </row>
    <row r="24" spans="1:4" ht="12.75">
      <c r="A24" s="396" t="s">
        <v>407</v>
      </c>
      <c r="B24" s="397" t="s">
        <v>408</v>
      </c>
      <c r="C24" s="91">
        <v>63</v>
      </c>
      <c r="D24" s="91">
        <f>47</f>
        <v>47</v>
      </c>
    </row>
    <row r="25" spans="1:4" ht="12.75">
      <c r="A25" s="396" t="s">
        <v>409</v>
      </c>
      <c r="B25" s="397" t="s">
        <v>410</v>
      </c>
      <c r="C25" s="91">
        <f>-2310-237</f>
        <v>-2547</v>
      </c>
      <c r="D25" s="91">
        <f>-31038-1312</f>
        <v>-32350</v>
      </c>
    </row>
    <row r="26" spans="1:4" ht="24">
      <c r="A26" s="396" t="s">
        <v>411</v>
      </c>
      <c r="B26" s="397" t="s">
        <v>412</v>
      </c>
      <c r="C26" s="91">
        <f>1932+39</f>
        <v>1971</v>
      </c>
      <c r="D26" s="91">
        <f>5646+706</f>
        <v>6352</v>
      </c>
    </row>
    <row r="27" spans="1:4" ht="12.75">
      <c r="A27" s="396" t="s">
        <v>413</v>
      </c>
      <c r="B27" s="397" t="s">
        <v>414</v>
      </c>
      <c r="C27" s="91">
        <v>394</v>
      </c>
      <c r="D27" s="91">
        <v>262</v>
      </c>
    </row>
    <row r="28" spans="1:4" ht="12.75">
      <c r="A28" s="396" t="s">
        <v>415</v>
      </c>
      <c r="B28" s="397" t="s">
        <v>416</v>
      </c>
      <c r="C28" s="91">
        <f>-199-143-28</f>
        <v>-370</v>
      </c>
      <c r="D28" s="91">
        <f>-197-1414-394</f>
        <v>-2005</v>
      </c>
    </row>
    <row r="29" spans="1:4" ht="12.75">
      <c r="A29" s="396" t="s">
        <v>417</v>
      </c>
      <c r="B29" s="397" t="s">
        <v>418</v>
      </c>
      <c r="C29" s="91">
        <f>2+3</f>
        <v>5</v>
      </c>
      <c r="D29" s="91">
        <v>544</v>
      </c>
    </row>
    <row r="30" spans="1:4" ht="12.75">
      <c r="A30" s="396" t="s">
        <v>419</v>
      </c>
      <c r="B30" s="397" t="s">
        <v>420</v>
      </c>
      <c r="C30" s="91">
        <v>24</v>
      </c>
      <c r="D30" s="91">
        <v>27</v>
      </c>
    </row>
    <row r="31" spans="1:4" ht="12.75">
      <c r="A31" s="396" t="s">
        <v>398</v>
      </c>
      <c r="B31" s="397" t="s">
        <v>421</v>
      </c>
      <c r="C31" s="91">
        <v>0</v>
      </c>
      <c r="D31" s="91">
        <v>0</v>
      </c>
    </row>
    <row r="32" spans="1:4" ht="12.75">
      <c r="A32" s="396" t="s">
        <v>422</v>
      </c>
      <c r="B32" s="397" t="s">
        <v>423</v>
      </c>
      <c r="C32" s="91"/>
      <c r="D32" s="91">
        <v>0</v>
      </c>
    </row>
    <row r="33" spans="1:4" ht="12.75">
      <c r="A33" s="400" t="s">
        <v>424</v>
      </c>
      <c r="B33" s="401" t="s">
        <v>425</v>
      </c>
      <c r="C33" s="92">
        <f>SUM(C23:C32)</f>
        <v>-11589</v>
      </c>
      <c r="D33" s="92">
        <f>SUM(D23:D32)</f>
        <v>-35811</v>
      </c>
    </row>
    <row r="34" spans="1:4" ht="12.75">
      <c r="A34" s="394" t="s">
        <v>426</v>
      </c>
      <c r="B34" s="402"/>
      <c r="C34" s="403"/>
      <c r="D34" s="403"/>
    </row>
    <row r="35" spans="1:4" ht="12.75">
      <c r="A35" s="396" t="s">
        <v>427</v>
      </c>
      <c r="B35" s="397" t="s">
        <v>428</v>
      </c>
      <c r="C35" s="91"/>
      <c r="D35" s="91">
        <v>0</v>
      </c>
    </row>
    <row r="36" spans="1:4" ht="12.75">
      <c r="A36" s="398" t="s">
        <v>429</v>
      </c>
      <c r="B36" s="397" t="s">
        <v>430</v>
      </c>
      <c r="C36" s="91">
        <v>-7</v>
      </c>
      <c r="D36" s="91">
        <f>-1746+747</f>
        <v>-999</v>
      </c>
    </row>
    <row r="37" spans="1:4" ht="12.75">
      <c r="A37" s="396" t="s">
        <v>431</v>
      </c>
      <c r="B37" s="397" t="s">
        <v>432</v>
      </c>
      <c r="C37" s="91">
        <f>184938+3345</f>
        <v>188283</v>
      </c>
      <c r="D37" s="91">
        <f>22492+2570</f>
        <v>25062</v>
      </c>
    </row>
    <row r="38" spans="1:4" ht="12.75">
      <c r="A38" s="396" t="s">
        <v>433</v>
      </c>
      <c r="B38" s="397" t="s">
        <v>434</v>
      </c>
      <c r="C38" s="91">
        <f>-186560-1523</f>
        <v>-188083</v>
      </c>
      <c r="D38" s="91">
        <f>-24019-9032</f>
        <v>-33051</v>
      </c>
    </row>
    <row r="39" spans="1:4" ht="12.75">
      <c r="A39" s="396" t="s">
        <v>435</v>
      </c>
      <c r="B39" s="397" t="s">
        <v>436</v>
      </c>
      <c r="C39" s="91">
        <v>-212</v>
      </c>
      <c r="D39" s="91">
        <v>-143</v>
      </c>
    </row>
    <row r="40" spans="1:4" ht="24">
      <c r="A40" s="396" t="s">
        <v>437</v>
      </c>
      <c r="B40" s="397" t="s">
        <v>438</v>
      </c>
      <c r="C40" s="91">
        <v>-291</v>
      </c>
      <c r="D40" s="91">
        <v>-105</v>
      </c>
    </row>
    <row r="41" spans="1:4" ht="12.75">
      <c r="A41" s="396" t="s">
        <v>439</v>
      </c>
      <c r="B41" s="397" t="s">
        <v>440</v>
      </c>
      <c r="C41" s="91">
        <v>-599</v>
      </c>
      <c r="D41" s="91">
        <v>-500</v>
      </c>
    </row>
    <row r="42" spans="1:4" ht="12.75">
      <c r="A42" s="396" t="s">
        <v>441</v>
      </c>
      <c r="B42" s="397" t="s">
        <v>442</v>
      </c>
      <c r="C42" s="91">
        <f>1824-808</f>
        <v>1016</v>
      </c>
      <c r="D42" s="91">
        <v>2</v>
      </c>
    </row>
    <row r="43" spans="1:4" ht="12.75">
      <c r="A43" s="400" t="s">
        <v>443</v>
      </c>
      <c r="B43" s="401" t="s">
        <v>444</v>
      </c>
      <c r="C43" s="92">
        <f>SUM(C35:C42)</f>
        <v>107</v>
      </c>
      <c r="D43" s="92">
        <f>SUM(D35:D42)</f>
        <v>-9734</v>
      </c>
    </row>
    <row r="44" spans="1:4" ht="12.75">
      <c r="A44" s="404" t="s">
        <v>445</v>
      </c>
      <c r="B44" s="401" t="s">
        <v>446</v>
      </c>
      <c r="C44" s="92">
        <f>C43+C33+C21</f>
        <v>-16141</v>
      </c>
      <c r="D44" s="92">
        <f>D43+D33+D21</f>
        <v>-21113</v>
      </c>
    </row>
    <row r="45" spans="1:4" ht="12.75">
      <c r="A45" s="394" t="s">
        <v>447</v>
      </c>
      <c r="B45" s="402" t="s">
        <v>448</v>
      </c>
      <c r="C45" s="181">
        <v>32235</v>
      </c>
      <c r="D45" s="181">
        <v>45069</v>
      </c>
    </row>
    <row r="46" spans="1:4" ht="12.75">
      <c r="A46" s="394" t="s">
        <v>449</v>
      </c>
      <c r="B46" s="402" t="s">
        <v>450</v>
      </c>
      <c r="C46" s="92">
        <f>C45+C44</f>
        <v>16094</v>
      </c>
      <c r="D46" s="92">
        <f>D45+D44</f>
        <v>23956</v>
      </c>
    </row>
    <row r="47" spans="1:4" ht="12.75">
      <c r="A47" s="396" t="s">
        <v>451</v>
      </c>
      <c r="B47" s="402" t="s">
        <v>452</v>
      </c>
      <c r="C47" s="93">
        <f>C46-C48</f>
        <v>12682</v>
      </c>
      <c r="D47" s="93">
        <v>23956</v>
      </c>
    </row>
    <row r="48" spans="1:4" ht="12.75">
      <c r="A48" s="396" t="s">
        <v>453</v>
      </c>
      <c r="B48" s="402" t="s">
        <v>454</v>
      </c>
      <c r="C48" s="93">
        <v>3412</v>
      </c>
      <c r="D48" s="93">
        <v>4963</v>
      </c>
    </row>
    <row r="49" spans="1:4" ht="12.75">
      <c r="A49" s="180"/>
      <c r="B49" s="405"/>
      <c r="C49" s="406"/>
      <c r="D49" s="406"/>
    </row>
    <row r="50" spans="1:4" ht="12.75">
      <c r="A50" s="525" t="s">
        <v>893</v>
      </c>
      <c r="B50" s="526"/>
      <c r="C50" s="526" t="s">
        <v>848</v>
      </c>
      <c r="D50" s="527"/>
    </row>
    <row r="51" spans="1:4" ht="12.75">
      <c r="A51" s="525"/>
      <c r="B51" s="526"/>
      <c r="C51" s="526" t="s">
        <v>849</v>
      </c>
      <c r="D51" s="527"/>
    </row>
    <row r="52" spans="1:4" ht="12.75">
      <c r="A52" s="388"/>
      <c r="B52" s="526"/>
      <c r="C52" s="592"/>
      <c r="D52" s="592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2"/>
      <c r="D54" s="592"/>
    </row>
  </sheetData>
  <sheetProtection/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3" t="s">
        <v>455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55"/>
      <c r="C3" s="595" t="str">
        <f>'справка №1-БАЛАНС'!E3</f>
        <v>СОФАРМА АД</v>
      </c>
      <c r="D3" s="596"/>
      <c r="E3" s="596"/>
      <c r="F3" s="596"/>
      <c r="G3" s="596"/>
      <c r="H3" s="555"/>
      <c r="I3" s="555"/>
      <c r="J3" s="2"/>
      <c r="K3" s="554" t="s">
        <v>1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456</v>
      </c>
      <c r="B4" s="555"/>
      <c r="C4" s="595" t="str">
        <f>'справка №1-БАЛАНС'!E4</f>
        <v>КОНСОЛИДИРАН </v>
      </c>
      <c r="D4" s="595"/>
      <c r="E4" s="597"/>
      <c r="F4" s="595"/>
      <c r="G4" s="595"/>
      <c r="H4" s="516"/>
      <c r="I4" s="516"/>
      <c r="J4" s="575"/>
      <c r="K4" s="563" t="s">
        <v>3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3"/>
      <c r="C5" s="595" t="str">
        <f>'справка №1-БАЛАНС'!E5</f>
        <v>01.01.-31.03.2012</v>
      </c>
      <c r="D5" s="596"/>
      <c r="E5" s="596"/>
      <c r="F5" s="596"/>
      <c r="G5" s="596"/>
      <c r="H5" s="555"/>
      <c r="I5" s="55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120537</v>
      </c>
      <c r="D11" s="95">
        <f>'справка №1-БАЛАНС'!H19</f>
        <v>0</v>
      </c>
      <c r="E11" s="95">
        <f>'справка №1-БАЛАНС'!H20</f>
        <v>23142</v>
      </c>
      <c r="F11" s="95">
        <f>'справка №1-БАЛАНС'!H22</f>
        <v>21855</v>
      </c>
      <c r="G11" s="95">
        <f>'справка №1-БАЛАНС'!H23</f>
        <v>0</v>
      </c>
      <c r="H11" s="97">
        <v>116061</v>
      </c>
      <c r="I11" s="95">
        <f>'справка №1-БАЛАНС'!H28+'справка №1-БАЛАНС'!H31</f>
        <v>38404</v>
      </c>
      <c r="J11" s="95">
        <f>'справка №1-БАЛАНС'!H29+'справка №1-БАЛАНС'!H32</f>
        <v>0</v>
      </c>
      <c r="K11" s="97"/>
      <c r="L11" s="407">
        <f>SUM(C11:K11)</f>
        <v>319999</v>
      </c>
      <c r="M11" s="95">
        <f>'справка №1-БАЛАНС'!H39</f>
        <v>45813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120537</v>
      </c>
      <c r="D15" s="98">
        <f aca="true" t="shared" si="2" ref="D15:M15">D11+D12</f>
        <v>0</v>
      </c>
      <c r="E15" s="98">
        <f t="shared" si="2"/>
        <v>23142</v>
      </c>
      <c r="F15" s="98">
        <f t="shared" si="2"/>
        <v>21855</v>
      </c>
      <c r="G15" s="98">
        <f t="shared" si="2"/>
        <v>0</v>
      </c>
      <c r="H15" s="98">
        <f t="shared" si="2"/>
        <v>116061</v>
      </c>
      <c r="I15" s="98">
        <f t="shared" si="2"/>
        <v>38404</v>
      </c>
      <c r="J15" s="98">
        <f t="shared" si="2"/>
        <v>0</v>
      </c>
      <c r="K15" s="98">
        <f t="shared" si="2"/>
        <v>0</v>
      </c>
      <c r="L15" s="407">
        <f t="shared" si="1"/>
        <v>319999</v>
      </c>
      <c r="M15" s="98">
        <f t="shared" si="2"/>
        <v>45813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f>+'справка №1-БАЛАНС'!G31</f>
        <v>11333</v>
      </c>
      <c r="J16" s="408">
        <f>+'справка №1-БАЛАНС'!G32</f>
        <v>0</v>
      </c>
      <c r="K16" s="97"/>
      <c r="L16" s="407">
        <f t="shared" si="1"/>
        <v>11333</v>
      </c>
      <c r="M16" s="97">
        <v>793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07">
        <f t="shared" si="1"/>
        <v>0</v>
      </c>
      <c r="M17" s="99">
        <f>M18+M19</f>
        <v>-624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/>
      <c r="J18" s="97"/>
      <c r="K18" s="97"/>
      <c r="L18" s="407">
        <f t="shared" si="1"/>
        <v>0</v>
      </c>
      <c r="M18" s="97">
        <v>-624</v>
      </c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/>
      <c r="G19" s="97"/>
      <c r="H19" s="97"/>
      <c r="I19" s="97"/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v>-33</v>
      </c>
      <c r="D28" s="97"/>
      <c r="E28" s="97">
        <v>-104</v>
      </c>
      <c r="F28" s="97"/>
      <c r="G28" s="97"/>
      <c r="H28" s="97">
        <v>-24</v>
      </c>
      <c r="I28" s="97"/>
      <c r="J28" s="97"/>
      <c r="K28" s="97"/>
      <c r="L28" s="407">
        <f t="shared" si="1"/>
        <v>-161</v>
      </c>
      <c r="M28" s="97">
        <v>540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120504</v>
      </c>
      <c r="D29" s="96">
        <f aca="true" t="shared" si="6" ref="D29:M29">D17+D20+D21+D24+D28+D27+D15+D16</f>
        <v>0</v>
      </c>
      <c r="E29" s="96">
        <f t="shared" si="6"/>
        <v>23038</v>
      </c>
      <c r="F29" s="96">
        <f t="shared" si="6"/>
        <v>21855</v>
      </c>
      <c r="G29" s="96">
        <f t="shared" si="6"/>
        <v>0</v>
      </c>
      <c r="H29" s="96">
        <f t="shared" si="6"/>
        <v>116037</v>
      </c>
      <c r="I29" s="96">
        <f t="shared" si="6"/>
        <v>49737</v>
      </c>
      <c r="J29" s="96">
        <f t="shared" si="6"/>
        <v>0</v>
      </c>
      <c r="K29" s="96">
        <f t="shared" si="6"/>
        <v>0</v>
      </c>
      <c r="L29" s="407">
        <f t="shared" si="1"/>
        <v>331171</v>
      </c>
      <c r="M29" s="96">
        <f t="shared" si="6"/>
        <v>46522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120504</v>
      </c>
      <c r="D32" s="96">
        <f t="shared" si="7"/>
        <v>0</v>
      </c>
      <c r="E32" s="96">
        <f t="shared" si="7"/>
        <v>23038</v>
      </c>
      <c r="F32" s="96">
        <f t="shared" si="7"/>
        <v>21855</v>
      </c>
      <c r="G32" s="96">
        <f t="shared" si="7"/>
        <v>0</v>
      </c>
      <c r="H32" s="96">
        <f t="shared" si="7"/>
        <v>116037</v>
      </c>
      <c r="I32" s="96">
        <f t="shared" si="7"/>
        <v>49737</v>
      </c>
      <c r="J32" s="96">
        <f t="shared" si="7"/>
        <v>0</v>
      </c>
      <c r="K32" s="96">
        <f t="shared" si="7"/>
        <v>0</v>
      </c>
      <c r="L32" s="407">
        <f t="shared" si="1"/>
        <v>331171</v>
      </c>
      <c r="M32" s="96">
        <f>M29+M30+M31</f>
        <v>46522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894</v>
      </c>
      <c r="B35" s="37"/>
      <c r="C35" s="24"/>
      <c r="D35" s="594" t="s">
        <v>810</v>
      </c>
      <c r="E35" s="594"/>
      <c r="F35" s="415" t="s">
        <v>852</v>
      </c>
      <c r="G35" s="579"/>
      <c r="H35" s="579"/>
      <c r="I35" s="579"/>
      <c r="J35" s="24" t="s">
        <v>843</v>
      </c>
      <c r="K35" s="24"/>
      <c r="L35" s="415" t="s">
        <v>855</v>
      </c>
      <c r="M35" s="579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1" zoomScaleNormal="71" zoomScalePageLayoutView="0" workbookViewId="0" topLeftCell="E1">
      <selection activeCell="J10" sqref="J10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886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598" t="s">
        <v>379</v>
      </c>
      <c r="B2" s="599"/>
      <c r="C2" s="566"/>
      <c r="D2" s="566"/>
      <c r="E2" s="595" t="str">
        <f>'справка №1-БАЛАНС'!E3</f>
        <v>СОФАРМА АД</v>
      </c>
      <c r="F2" s="600"/>
      <c r="G2" s="600"/>
      <c r="H2" s="566"/>
      <c r="I2" s="424"/>
      <c r="J2" s="424"/>
      <c r="K2" s="424"/>
      <c r="L2" s="424"/>
      <c r="M2" s="602" t="s">
        <v>1</v>
      </c>
      <c r="N2" s="603"/>
      <c r="O2" s="603"/>
      <c r="P2" s="604">
        <f>'справка №1-БАЛАНС'!H3</f>
        <v>831902088</v>
      </c>
      <c r="Q2" s="604"/>
      <c r="R2" s="348"/>
    </row>
    <row r="3" spans="1:18" ht="15">
      <c r="A3" s="598" t="s">
        <v>4</v>
      </c>
      <c r="B3" s="599"/>
      <c r="C3" s="567"/>
      <c r="D3" s="567"/>
      <c r="E3" s="595" t="str">
        <f>'справка №1-БАЛАНС'!E5</f>
        <v>01.01.-31.03.2012</v>
      </c>
      <c r="F3" s="601"/>
      <c r="G3" s="601"/>
      <c r="H3" s="426"/>
      <c r="I3" s="426"/>
      <c r="J3" s="426"/>
      <c r="K3" s="426"/>
      <c r="L3" s="426"/>
      <c r="M3" s="605" t="s">
        <v>3</v>
      </c>
      <c r="N3" s="605"/>
      <c r="O3" s="558"/>
      <c r="P3" s="606">
        <f>'справка №1-БАЛАНС'!H4</f>
        <v>684</v>
      </c>
      <c r="Q3" s="606"/>
      <c r="R3" s="349"/>
    </row>
    <row r="4" spans="1:18" ht="12.75">
      <c r="A4" s="419" t="s">
        <v>517</v>
      </c>
      <c r="B4" s="425"/>
      <c r="C4" s="425"/>
      <c r="D4" s="426"/>
      <c r="E4" s="609"/>
      <c r="F4" s="610"/>
      <c r="G4" s="610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18" s="43" customFormat="1" ht="30.75" customHeight="1">
      <c r="A5" s="611" t="s">
        <v>459</v>
      </c>
      <c r="B5" s="612"/>
      <c r="C5" s="615" t="s">
        <v>7</v>
      </c>
      <c r="D5" s="432" t="s">
        <v>519</v>
      </c>
      <c r="E5" s="432"/>
      <c r="F5" s="432"/>
      <c r="G5" s="432"/>
      <c r="H5" s="432" t="s">
        <v>520</v>
      </c>
      <c r="I5" s="432"/>
      <c r="J5" s="607" t="s">
        <v>521</v>
      </c>
      <c r="K5" s="432" t="s">
        <v>522</v>
      </c>
      <c r="L5" s="432"/>
      <c r="M5" s="432"/>
      <c r="N5" s="432"/>
      <c r="O5" s="432" t="s">
        <v>520</v>
      </c>
      <c r="P5" s="432"/>
      <c r="Q5" s="607" t="s">
        <v>523</v>
      </c>
      <c r="R5" s="607" t="s">
        <v>524</v>
      </c>
    </row>
    <row r="6" spans="1:18" s="43" customFormat="1" ht="48">
      <c r="A6" s="613"/>
      <c r="B6" s="614"/>
      <c r="C6" s="616"/>
      <c r="D6" s="433" t="s">
        <v>525</v>
      </c>
      <c r="E6" s="433" t="s">
        <v>526</v>
      </c>
      <c r="F6" s="433" t="s">
        <v>527</v>
      </c>
      <c r="G6" s="433" t="s">
        <v>528</v>
      </c>
      <c r="H6" s="433" t="s">
        <v>529</v>
      </c>
      <c r="I6" s="433" t="s">
        <v>530</v>
      </c>
      <c r="J6" s="608"/>
      <c r="K6" s="433" t="s">
        <v>525</v>
      </c>
      <c r="L6" s="433" t="s">
        <v>531</v>
      </c>
      <c r="M6" s="433" t="s">
        <v>532</v>
      </c>
      <c r="N6" s="433" t="s">
        <v>533</v>
      </c>
      <c r="O6" s="433" t="s">
        <v>529</v>
      </c>
      <c r="P6" s="433" t="s">
        <v>530</v>
      </c>
      <c r="Q6" s="608"/>
      <c r="R6" s="608"/>
    </row>
    <row r="7" spans="1:18" s="43" customFormat="1" ht="12">
      <c r="A7" s="435" t="s">
        <v>534</v>
      </c>
      <c r="B7" s="435"/>
      <c r="C7" s="436" t="s">
        <v>14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535</v>
      </c>
      <c r="B8" s="438" t="s">
        <v>536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537</v>
      </c>
      <c r="B9" s="441" t="s">
        <v>538</v>
      </c>
      <c r="C9" s="442" t="s">
        <v>539</v>
      </c>
      <c r="D9" s="238">
        <v>40754</v>
      </c>
      <c r="E9" s="238">
        <v>7</v>
      </c>
      <c r="F9" s="238"/>
      <c r="G9" s="112">
        <f>D9+E9-F9</f>
        <v>40761</v>
      </c>
      <c r="H9" s="102"/>
      <c r="I9" s="102"/>
      <c r="J9" s="112">
        <f>G9+H9-I9</f>
        <v>40761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40761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540</v>
      </c>
      <c r="B10" s="441" t="s">
        <v>541</v>
      </c>
      <c r="C10" s="442" t="s">
        <v>542</v>
      </c>
      <c r="D10" s="238">
        <v>96605</v>
      </c>
      <c r="E10" s="238">
        <v>57</v>
      </c>
      <c r="F10" s="238">
        <v>246</v>
      </c>
      <c r="G10" s="112">
        <f aca="true" t="shared" si="2" ref="G10:G39">D10+E10-F10</f>
        <v>96416</v>
      </c>
      <c r="H10" s="102"/>
      <c r="I10" s="102"/>
      <c r="J10" s="112">
        <f aca="true" t="shared" si="3" ref="J10:J39">G10+H10-I10</f>
        <v>96416</v>
      </c>
      <c r="K10" s="102">
        <v>10575</v>
      </c>
      <c r="L10" s="102">
        <v>855</v>
      </c>
      <c r="M10" s="102"/>
      <c r="N10" s="112">
        <f aca="true" t="shared" si="4" ref="N10:N39">K10+L10-M10</f>
        <v>11430</v>
      </c>
      <c r="O10" s="102"/>
      <c r="P10" s="102"/>
      <c r="Q10" s="112">
        <f t="shared" si="0"/>
        <v>11430</v>
      </c>
      <c r="R10" s="112">
        <f t="shared" si="1"/>
        <v>84986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543</v>
      </c>
      <c r="B11" s="441" t="s">
        <v>544</v>
      </c>
      <c r="C11" s="442" t="s">
        <v>545</v>
      </c>
      <c r="D11" s="238">
        <v>111946</v>
      </c>
      <c r="E11" s="238">
        <v>1000</v>
      </c>
      <c r="F11" s="238">
        <v>164</v>
      </c>
      <c r="G11" s="112">
        <f t="shared" si="2"/>
        <v>112782</v>
      </c>
      <c r="H11" s="102"/>
      <c r="I11" s="102"/>
      <c r="J11" s="112">
        <f t="shared" si="3"/>
        <v>112782</v>
      </c>
      <c r="K11" s="102">
        <v>58350</v>
      </c>
      <c r="L11" s="102">
        <v>2202</v>
      </c>
      <c r="M11" s="102">
        <v>20</v>
      </c>
      <c r="N11" s="112">
        <f t="shared" si="4"/>
        <v>60532</v>
      </c>
      <c r="O11" s="102"/>
      <c r="P11" s="102"/>
      <c r="Q11" s="112">
        <f t="shared" si="0"/>
        <v>60532</v>
      </c>
      <c r="R11" s="112">
        <f t="shared" si="1"/>
        <v>52250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546</v>
      </c>
      <c r="B12" s="441" t="s">
        <v>547</v>
      </c>
      <c r="C12" s="442" t="s">
        <v>548</v>
      </c>
      <c r="D12" s="238">
        <v>4206</v>
      </c>
      <c r="E12" s="238">
        <v>14</v>
      </c>
      <c r="F12" s="238"/>
      <c r="G12" s="112">
        <f t="shared" si="2"/>
        <v>4220</v>
      </c>
      <c r="H12" s="102"/>
      <c r="I12" s="102"/>
      <c r="J12" s="112">
        <f t="shared" si="3"/>
        <v>4220</v>
      </c>
      <c r="K12" s="102">
        <v>1336</v>
      </c>
      <c r="L12" s="102">
        <v>67</v>
      </c>
      <c r="M12" s="102"/>
      <c r="N12" s="112">
        <f t="shared" si="4"/>
        <v>1403</v>
      </c>
      <c r="O12" s="102"/>
      <c r="P12" s="102"/>
      <c r="Q12" s="112">
        <f t="shared" si="0"/>
        <v>1403</v>
      </c>
      <c r="R12" s="112">
        <f t="shared" si="1"/>
        <v>2817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549</v>
      </c>
      <c r="B13" s="441" t="s">
        <v>550</v>
      </c>
      <c r="C13" s="442" t="s">
        <v>551</v>
      </c>
      <c r="D13" s="238">
        <v>21863</v>
      </c>
      <c r="E13" s="238">
        <v>464</v>
      </c>
      <c r="F13" s="238">
        <v>47</v>
      </c>
      <c r="G13" s="112">
        <f t="shared" si="2"/>
        <v>22280</v>
      </c>
      <c r="H13" s="102"/>
      <c r="I13" s="102"/>
      <c r="J13" s="112">
        <f t="shared" si="3"/>
        <v>22280</v>
      </c>
      <c r="K13" s="102">
        <v>10585</v>
      </c>
      <c r="L13" s="102">
        <v>703</v>
      </c>
      <c r="M13" s="102">
        <v>15</v>
      </c>
      <c r="N13" s="112">
        <f t="shared" si="4"/>
        <v>11273</v>
      </c>
      <c r="O13" s="102"/>
      <c r="P13" s="102"/>
      <c r="Q13" s="112">
        <f t="shared" si="0"/>
        <v>11273</v>
      </c>
      <c r="R13" s="112">
        <f t="shared" si="1"/>
        <v>11007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552</v>
      </c>
      <c r="B14" s="441" t="s">
        <v>553</v>
      </c>
      <c r="C14" s="442" t="s">
        <v>554</v>
      </c>
      <c r="D14" s="238">
        <v>11075</v>
      </c>
      <c r="E14" s="238">
        <v>176</v>
      </c>
      <c r="F14" s="238">
        <v>128</v>
      </c>
      <c r="G14" s="112">
        <f t="shared" si="2"/>
        <v>11123</v>
      </c>
      <c r="H14" s="102"/>
      <c r="I14" s="102"/>
      <c r="J14" s="112">
        <f t="shared" si="3"/>
        <v>11123</v>
      </c>
      <c r="K14" s="102">
        <v>5732</v>
      </c>
      <c r="L14" s="102">
        <v>299</v>
      </c>
      <c r="M14" s="102">
        <v>8</v>
      </c>
      <c r="N14" s="112">
        <f t="shared" si="4"/>
        <v>6023</v>
      </c>
      <c r="O14" s="102"/>
      <c r="P14" s="102"/>
      <c r="Q14" s="112">
        <f t="shared" si="0"/>
        <v>6023</v>
      </c>
      <c r="R14" s="112">
        <f t="shared" si="1"/>
        <v>5100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844</v>
      </c>
      <c r="B15" s="449" t="s">
        <v>845</v>
      </c>
      <c r="C15" s="545" t="s">
        <v>846</v>
      </c>
      <c r="D15" s="546">
        <v>36467</v>
      </c>
      <c r="E15" s="546">
        <v>9780</v>
      </c>
      <c r="F15" s="546">
        <v>890</v>
      </c>
      <c r="G15" s="112">
        <f t="shared" si="2"/>
        <v>45357</v>
      </c>
      <c r="H15" s="547"/>
      <c r="I15" s="547"/>
      <c r="J15" s="112">
        <f t="shared" si="3"/>
        <v>45357</v>
      </c>
      <c r="K15" s="547">
        <v>0</v>
      </c>
      <c r="L15" s="547"/>
      <c r="M15" s="547"/>
      <c r="N15" s="112">
        <f t="shared" si="4"/>
        <v>0</v>
      </c>
      <c r="O15" s="547"/>
      <c r="P15" s="547"/>
      <c r="Q15" s="112">
        <f t="shared" si="0"/>
        <v>0</v>
      </c>
      <c r="R15" s="112">
        <f t="shared" si="1"/>
        <v>45357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555</v>
      </c>
      <c r="B16" s="242" t="s">
        <v>556</v>
      </c>
      <c r="C16" s="442" t="s">
        <v>557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558</v>
      </c>
      <c r="C17" s="444" t="s">
        <v>559</v>
      </c>
      <c r="D17" s="243">
        <f>SUM(D9:D16)</f>
        <v>322916</v>
      </c>
      <c r="E17" s="243">
        <f>SUM(E9:E16)</f>
        <v>11498</v>
      </c>
      <c r="F17" s="243">
        <f>SUM(F9:F16)</f>
        <v>1475</v>
      </c>
      <c r="G17" s="112">
        <f t="shared" si="2"/>
        <v>332939</v>
      </c>
      <c r="H17" s="113">
        <f>SUM(H9:H16)</f>
        <v>0</v>
      </c>
      <c r="I17" s="113">
        <f>SUM(I9:I16)</f>
        <v>0</v>
      </c>
      <c r="J17" s="112">
        <f t="shared" si="3"/>
        <v>332939</v>
      </c>
      <c r="K17" s="113">
        <f>SUM(K9:K16)</f>
        <v>86578</v>
      </c>
      <c r="L17" s="113">
        <f>SUM(L9:L16)</f>
        <v>4126</v>
      </c>
      <c r="M17" s="113">
        <f>SUM(M9:M16)</f>
        <v>43</v>
      </c>
      <c r="N17" s="112">
        <f t="shared" si="4"/>
        <v>90661</v>
      </c>
      <c r="O17" s="113">
        <f>SUM(O9:O16)</f>
        <v>0</v>
      </c>
      <c r="P17" s="113">
        <f>SUM(P9:P16)</f>
        <v>0</v>
      </c>
      <c r="Q17" s="112">
        <f t="shared" si="5"/>
        <v>90661</v>
      </c>
      <c r="R17" s="112">
        <f t="shared" si="6"/>
        <v>242278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560</v>
      </c>
      <c r="B18" s="446" t="s">
        <v>561</v>
      </c>
      <c r="C18" s="444" t="s">
        <v>562</v>
      </c>
      <c r="D18" s="236">
        <v>6555</v>
      </c>
      <c r="E18" s="236"/>
      <c r="F18" s="236">
        <v>2</v>
      </c>
      <c r="G18" s="112">
        <f t="shared" si="2"/>
        <v>6553</v>
      </c>
      <c r="H18" s="100"/>
      <c r="I18" s="100"/>
      <c r="J18" s="112">
        <f t="shared" si="3"/>
        <v>6553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6553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563</v>
      </c>
      <c r="B19" s="446" t="s">
        <v>564</v>
      </c>
      <c r="C19" s="444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566</v>
      </c>
      <c r="B20" s="438" t="s">
        <v>567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537</v>
      </c>
      <c r="B21" s="441" t="s">
        <v>568</v>
      </c>
      <c r="C21" s="442" t="s">
        <v>569</v>
      </c>
      <c r="D21" s="238">
        <v>9263</v>
      </c>
      <c r="E21" s="238">
        <v>297</v>
      </c>
      <c r="F21" s="238">
        <v>18</v>
      </c>
      <c r="G21" s="112">
        <f t="shared" si="2"/>
        <v>9542</v>
      </c>
      <c r="H21" s="102"/>
      <c r="I21" s="102"/>
      <c r="J21" s="112">
        <f t="shared" si="3"/>
        <v>9542</v>
      </c>
      <c r="K21" s="102">
        <v>2511</v>
      </c>
      <c r="L21" s="102">
        <v>358</v>
      </c>
      <c r="M21" s="102">
        <v>51</v>
      </c>
      <c r="N21" s="112">
        <f t="shared" si="4"/>
        <v>2818</v>
      </c>
      <c r="O21" s="102"/>
      <c r="P21" s="102"/>
      <c r="Q21" s="112">
        <f t="shared" si="5"/>
        <v>2818</v>
      </c>
      <c r="R21" s="112">
        <f t="shared" si="6"/>
        <v>6724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540</v>
      </c>
      <c r="B22" s="441" t="s">
        <v>570</v>
      </c>
      <c r="C22" s="442" t="s">
        <v>571</v>
      </c>
      <c r="D22" s="238">
        <v>5181</v>
      </c>
      <c r="E22" s="238">
        <v>190</v>
      </c>
      <c r="F22" s="238"/>
      <c r="G22" s="112">
        <f t="shared" si="2"/>
        <v>5371</v>
      </c>
      <c r="H22" s="102"/>
      <c r="I22" s="102"/>
      <c r="J22" s="112">
        <f t="shared" si="3"/>
        <v>5371</v>
      </c>
      <c r="K22" s="102">
        <v>2213</v>
      </c>
      <c r="L22" s="102">
        <v>212</v>
      </c>
      <c r="M22" s="102"/>
      <c r="N22" s="112">
        <f t="shared" si="4"/>
        <v>2425</v>
      </c>
      <c r="O22" s="102"/>
      <c r="P22" s="102"/>
      <c r="Q22" s="112">
        <f t="shared" si="5"/>
        <v>2425</v>
      </c>
      <c r="R22" s="112">
        <f t="shared" si="6"/>
        <v>2946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543</v>
      </c>
      <c r="B23" s="449" t="s">
        <v>572</v>
      </c>
      <c r="C23" s="442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546</v>
      </c>
      <c r="B24" s="450" t="s">
        <v>556</v>
      </c>
      <c r="C24" s="442" t="s">
        <v>574</v>
      </c>
      <c r="D24" s="238">
        <v>4028</v>
      </c>
      <c r="E24" s="238">
        <v>1174</v>
      </c>
      <c r="F24" s="238">
        <v>254</v>
      </c>
      <c r="G24" s="112">
        <f t="shared" si="2"/>
        <v>4948</v>
      </c>
      <c r="H24" s="102"/>
      <c r="I24" s="102"/>
      <c r="J24" s="112">
        <f t="shared" si="3"/>
        <v>4948</v>
      </c>
      <c r="K24" s="102">
        <v>550</v>
      </c>
      <c r="L24" s="102">
        <v>46</v>
      </c>
      <c r="M24" s="102"/>
      <c r="N24" s="112">
        <f t="shared" si="4"/>
        <v>596</v>
      </c>
      <c r="O24" s="102"/>
      <c r="P24" s="102"/>
      <c r="Q24" s="112">
        <f t="shared" si="5"/>
        <v>596</v>
      </c>
      <c r="R24" s="112">
        <f t="shared" si="6"/>
        <v>4352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826</v>
      </c>
      <c r="C25" s="451" t="s">
        <v>576</v>
      </c>
      <c r="D25" s="239">
        <f>SUM(D21:D24)</f>
        <v>18472</v>
      </c>
      <c r="E25" s="239">
        <f aca="true" t="shared" si="7" ref="E25:P25">SUM(E21:E24)</f>
        <v>1661</v>
      </c>
      <c r="F25" s="239">
        <f t="shared" si="7"/>
        <v>272</v>
      </c>
      <c r="G25" s="104">
        <f t="shared" si="2"/>
        <v>19861</v>
      </c>
      <c r="H25" s="103">
        <f t="shared" si="7"/>
        <v>0</v>
      </c>
      <c r="I25" s="103">
        <f t="shared" si="7"/>
        <v>0</v>
      </c>
      <c r="J25" s="104">
        <f t="shared" si="3"/>
        <v>19861</v>
      </c>
      <c r="K25" s="103">
        <f t="shared" si="7"/>
        <v>5274</v>
      </c>
      <c r="L25" s="103">
        <f t="shared" si="7"/>
        <v>616</v>
      </c>
      <c r="M25" s="103">
        <f t="shared" si="7"/>
        <v>51</v>
      </c>
      <c r="N25" s="104">
        <f t="shared" si="4"/>
        <v>5839</v>
      </c>
      <c r="O25" s="103">
        <f t="shared" si="7"/>
        <v>0</v>
      </c>
      <c r="P25" s="103">
        <f t="shared" si="7"/>
        <v>0</v>
      </c>
      <c r="Q25" s="104">
        <f t="shared" si="5"/>
        <v>5839</v>
      </c>
      <c r="R25" s="104">
        <f t="shared" si="6"/>
        <v>14022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577</v>
      </c>
      <c r="B26" s="452" t="s">
        <v>578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537</v>
      </c>
      <c r="B27" s="454" t="s">
        <v>840</v>
      </c>
      <c r="C27" s="455" t="s">
        <v>579</v>
      </c>
      <c r="D27" s="241">
        <f>SUM(D28:D31)</f>
        <v>19972</v>
      </c>
      <c r="E27" s="241">
        <f aca="true" t="shared" si="8" ref="E27:P27">SUM(E28:E31)</f>
        <v>273</v>
      </c>
      <c r="F27" s="241">
        <f t="shared" si="8"/>
        <v>0</v>
      </c>
      <c r="G27" s="109">
        <f t="shared" si="2"/>
        <v>20245</v>
      </c>
      <c r="H27" s="108">
        <f t="shared" si="8"/>
        <v>0</v>
      </c>
      <c r="I27" s="108">
        <f t="shared" si="8"/>
        <v>0</v>
      </c>
      <c r="J27" s="109">
        <f t="shared" si="3"/>
        <v>20245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20245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105</v>
      </c>
      <c r="C28" s="442" t="s">
        <v>580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107</v>
      </c>
      <c r="C29" s="442" t="s">
        <v>581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111</v>
      </c>
      <c r="C30" s="442" t="s">
        <v>582</v>
      </c>
      <c r="D30" s="238"/>
      <c r="E30" s="238"/>
      <c r="F30" s="238"/>
      <c r="G30" s="112">
        <f t="shared" si="2"/>
        <v>0</v>
      </c>
      <c r="H30" s="110"/>
      <c r="I30" s="110"/>
      <c r="J30" s="112">
        <f t="shared" si="3"/>
        <v>0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113</v>
      </c>
      <c r="C31" s="442" t="s">
        <v>583</v>
      </c>
      <c r="D31" s="238">
        <v>19972</v>
      </c>
      <c r="E31" s="238">
        <v>273</v>
      </c>
      <c r="F31" s="238"/>
      <c r="G31" s="112">
        <f t="shared" si="2"/>
        <v>20245</v>
      </c>
      <c r="H31" s="110"/>
      <c r="I31" s="110"/>
      <c r="J31" s="112">
        <f t="shared" si="3"/>
        <v>20245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20245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540</v>
      </c>
      <c r="B32" s="454" t="s">
        <v>584</v>
      </c>
      <c r="C32" s="442" t="s">
        <v>585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119</v>
      </c>
      <c r="C33" s="442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587</v>
      </c>
      <c r="C34" s="442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589</v>
      </c>
      <c r="C35" s="442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591</v>
      </c>
      <c r="C36" s="442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543</v>
      </c>
      <c r="B37" s="456" t="s">
        <v>556</v>
      </c>
      <c r="C37" s="442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841</v>
      </c>
      <c r="C38" s="444" t="s">
        <v>595</v>
      </c>
      <c r="D38" s="243">
        <f>D27+D32+D37</f>
        <v>19972</v>
      </c>
      <c r="E38" s="243">
        <f aca="true" t="shared" si="12" ref="E38:P38">E27+E32+E37</f>
        <v>273</v>
      </c>
      <c r="F38" s="243">
        <f t="shared" si="12"/>
        <v>0</v>
      </c>
      <c r="G38" s="112">
        <f t="shared" si="2"/>
        <v>20245</v>
      </c>
      <c r="H38" s="113">
        <f t="shared" si="12"/>
        <v>0</v>
      </c>
      <c r="I38" s="113">
        <f t="shared" si="12"/>
        <v>0</v>
      </c>
      <c r="J38" s="112">
        <f t="shared" si="3"/>
        <v>20245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20245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596</v>
      </c>
      <c r="B39" s="445" t="s">
        <v>597</v>
      </c>
      <c r="C39" s="444" t="s">
        <v>598</v>
      </c>
      <c r="D39" s="578">
        <v>21602</v>
      </c>
      <c r="E39" s="578"/>
      <c r="F39" s="578">
        <v>40</v>
      </c>
      <c r="G39" s="112">
        <f t="shared" si="2"/>
        <v>21562</v>
      </c>
      <c r="H39" s="578"/>
      <c r="I39" s="578"/>
      <c r="J39" s="112">
        <f t="shared" si="3"/>
        <v>21562</v>
      </c>
      <c r="K39" s="578">
        <v>6821</v>
      </c>
      <c r="L39" s="578"/>
      <c r="M39" s="578"/>
      <c r="N39" s="112">
        <f t="shared" si="4"/>
        <v>6821</v>
      </c>
      <c r="O39" s="578"/>
      <c r="P39" s="578"/>
      <c r="Q39" s="112">
        <f t="shared" si="9"/>
        <v>6821</v>
      </c>
      <c r="R39" s="112">
        <f t="shared" si="10"/>
        <v>14741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599</v>
      </c>
      <c r="C40" s="434" t="s">
        <v>600</v>
      </c>
      <c r="D40" s="528">
        <f>D17+D18+D19+D25+D38+D39</f>
        <v>389517</v>
      </c>
      <c r="E40" s="528">
        <f>E17+E18+E19+E25+E38+E39</f>
        <v>13432</v>
      </c>
      <c r="F40" s="528">
        <f aca="true" t="shared" si="13" ref="F40:R40">F17+F18+F19+F25+F38+F39</f>
        <v>1789</v>
      </c>
      <c r="G40" s="528">
        <f t="shared" si="13"/>
        <v>401160</v>
      </c>
      <c r="H40" s="528">
        <f t="shared" si="13"/>
        <v>0</v>
      </c>
      <c r="I40" s="528">
        <f t="shared" si="13"/>
        <v>0</v>
      </c>
      <c r="J40" s="528">
        <f t="shared" si="13"/>
        <v>401160</v>
      </c>
      <c r="K40" s="528">
        <f t="shared" si="13"/>
        <v>98673</v>
      </c>
      <c r="L40" s="528">
        <f t="shared" si="13"/>
        <v>4742</v>
      </c>
      <c r="M40" s="528">
        <f t="shared" si="13"/>
        <v>94</v>
      </c>
      <c r="N40" s="528">
        <f t="shared" si="13"/>
        <v>103321</v>
      </c>
      <c r="O40" s="528">
        <f t="shared" si="13"/>
        <v>0</v>
      </c>
      <c r="P40" s="528">
        <f t="shared" si="13"/>
        <v>0</v>
      </c>
      <c r="Q40" s="528">
        <f t="shared" si="13"/>
        <v>103321</v>
      </c>
      <c r="R40" s="528">
        <f t="shared" si="13"/>
        <v>297839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887</v>
      </c>
      <c r="C44" s="428"/>
      <c r="D44" s="429"/>
      <c r="E44" s="429"/>
      <c r="F44" s="429"/>
      <c r="G44" s="419"/>
      <c r="H44" s="430" t="s">
        <v>856</v>
      </c>
      <c r="I44" s="430"/>
      <c r="J44" s="430"/>
      <c r="K44" s="617"/>
      <c r="L44" s="617"/>
      <c r="M44" s="617"/>
      <c r="N44" s="617"/>
      <c r="O44" s="603" t="s">
        <v>849</v>
      </c>
      <c r="P44" s="599"/>
      <c r="Q44" s="599"/>
      <c r="R44" s="599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1">
      <selection activeCell="C96" sqref="C96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1" t="s">
        <v>885</v>
      </c>
      <c r="B1" s="621"/>
      <c r="C1" s="621"/>
      <c r="D1" s="621"/>
      <c r="E1" s="621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2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2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3" t="str">
        <f>"Отчетен период:"&amp;"           "&amp;'справка №1-БАЛАНС'!E5</f>
        <v>Отчетен период:           01.01.-31.03.2012</v>
      </c>
      <c r="B4" s="623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602</v>
      </c>
      <c r="B5" s="495"/>
      <c r="C5" s="496"/>
      <c r="D5" s="496"/>
      <c r="E5" s="497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459</v>
      </c>
      <c r="B6" s="465" t="s">
        <v>7</v>
      </c>
      <c r="C6" s="466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7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608</v>
      </c>
      <c r="B9" s="469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610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611</v>
      </c>
      <c r="B11" s="472" t="s">
        <v>612</v>
      </c>
      <c r="C11" s="164">
        <f>SUM(C12:C14)</f>
        <v>736</v>
      </c>
      <c r="D11" s="164">
        <f>SUM(D12:D14)</f>
        <v>0</v>
      </c>
      <c r="E11" s="165">
        <f>SUM(E12:E14)</f>
        <v>736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613</v>
      </c>
      <c r="B12" s="472" t="s">
        <v>614</v>
      </c>
      <c r="C12" s="152">
        <v>736</v>
      </c>
      <c r="D12" s="152"/>
      <c r="E12" s="165">
        <f aca="true" t="shared" si="0" ref="E12:E42">C12-D12</f>
        <v>736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615</v>
      </c>
      <c r="B13" s="472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617</v>
      </c>
      <c r="B14" s="472" t="s">
        <v>618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619</v>
      </c>
      <c r="B15" s="472" t="s">
        <v>620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621</v>
      </c>
      <c r="B16" s="472" t="s">
        <v>622</v>
      </c>
      <c r="C16" s="164">
        <f>+C17+C18</f>
        <v>828</v>
      </c>
      <c r="D16" s="164">
        <f>+D17+D18</f>
        <v>0</v>
      </c>
      <c r="E16" s="165">
        <f t="shared" si="0"/>
        <v>828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623</v>
      </c>
      <c r="B17" s="472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617</v>
      </c>
      <c r="B18" s="472" t="s">
        <v>625</v>
      </c>
      <c r="C18" s="152">
        <v>828</v>
      </c>
      <c r="D18" s="152"/>
      <c r="E18" s="165">
        <f t="shared" si="0"/>
        <v>828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626</v>
      </c>
      <c r="B19" s="469" t="s">
        <v>627</v>
      </c>
      <c r="C19" s="148">
        <f>C11+C15+C16</f>
        <v>1564</v>
      </c>
      <c r="D19" s="148">
        <f>D11+D15+D16</f>
        <v>0</v>
      </c>
      <c r="E19" s="163">
        <f>E11+E15+E16</f>
        <v>1564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628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629</v>
      </c>
      <c r="B21" s="469" t="s">
        <v>630</v>
      </c>
      <c r="C21" s="152">
        <v>2150</v>
      </c>
      <c r="D21" s="152"/>
      <c r="E21" s="165">
        <f t="shared" si="0"/>
        <v>2150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631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632</v>
      </c>
      <c r="B24" s="472" t="s">
        <v>633</v>
      </c>
      <c r="C24" s="164">
        <f>SUM(C25:C27)</f>
        <v>64388</v>
      </c>
      <c r="D24" s="164">
        <f>SUM(D25:D27)</f>
        <v>64388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634</v>
      </c>
      <c r="B25" s="472" t="s">
        <v>635</v>
      </c>
      <c r="C25" s="152">
        <v>62944</v>
      </c>
      <c r="D25" s="152">
        <f>+C25</f>
        <v>62944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636</v>
      </c>
      <c r="B26" s="472" t="s">
        <v>637</v>
      </c>
      <c r="C26" s="152">
        <v>1444</v>
      </c>
      <c r="D26" s="152">
        <f aca="true" t="shared" si="1" ref="D26:D32">+C26</f>
        <v>1444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638</v>
      </c>
      <c r="B27" s="472" t="s">
        <v>639</v>
      </c>
      <c r="C27" s="152">
        <v>0</v>
      </c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640</v>
      </c>
      <c r="B28" s="472" t="s">
        <v>641</v>
      </c>
      <c r="C28" s="152">
        <v>139363</v>
      </c>
      <c r="D28" s="152">
        <f t="shared" si="1"/>
        <v>139363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642</v>
      </c>
      <c r="B29" s="472" t="s">
        <v>643</v>
      </c>
      <c r="C29" s="152">
        <v>8708</v>
      </c>
      <c r="D29" s="152">
        <f t="shared" si="1"/>
        <v>8708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644</v>
      </c>
      <c r="B30" s="472" t="s">
        <v>645</v>
      </c>
      <c r="C30" s="152">
        <v>1470</v>
      </c>
      <c r="D30" s="152">
        <f t="shared" si="1"/>
        <v>1470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646</v>
      </c>
      <c r="B31" s="472" t="s">
        <v>647</v>
      </c>
      <c r="C31" s="152">
        <v>14264</v>
      </c>
      <c r="D31" s="152">
        <f t="shared" si="1"/>
        <v>14264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648</v>
      </c>
      <c r="B32" s="472" t="s">
        <v>649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650</v>
      </c>
      <c r="B33" s="472" t="s">
        <v>651</v>
      </c>
      <c r="C33" s="149">
        <f>SUM(C34:C37)</f>
        <v>7496</v>
      </c>
      <c r="D33" s="149">
        <f>SUM(D34:D37)</f>
        <v>7496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652</v>
      </c>
      <c r="B34" s="472" t="s">
        <v>653</v>
      </c>
      <c r="C34" s="152">
        <v>738</v>
      </c>
      <c r="D34" s="152">
        <f>+C34</f>
        <v>738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654</v>
      </c>
      <c r="B35" s="472" t="s">
        <v>655</v>
      </c>
      <c r="C35" s="152">
        <v>3555</v>
      </c>
      <c r="D35" s="152">
        <f>+C35</f>
        <v>3555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656</v>
      </c>
      <c r="B36" s="472" t="s">
        <v>657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658</v>
      </c>
      <c r="B37" s="472" t="s">
        <v>659</v>
      </c>
      <c r="C37" s="152">
        <v>3203</v>
      </c>
      <c r="D37" s="152">
        <f>+C37</f>
        <v>3203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660</v>
      </c>
      <c r="B38" s="472" t="s">
        <v>661</v>
      </c>
      <c r="C38" s="164">
        <f>SUM(C39:C42)</f>
        <v>1024</v>
      </c>
      <c r="D38" s="149">
        <f>SUM(D39:D42)</f>
        <v>1024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662</v>
      </c>
      <c r="B39" s="472" t="s">
        <v>663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664</v>
      </c>
      <c r="B40" s="472" t="s">
        <v>665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666</v>
      </c>
      <c r="B41" s="472" t="s">
        <v>667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668</v>
      </c>
      <c r="B42" s="472" t="s">
        <v>669</v>
      </c>
      <c r="C42" s="152">
        <v>1024</v>
      </c>
      <c r="D42" s="152">
        <f>+C42</f>
        <v>1024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670</v>
      </c>
      <c r="B43" s="469" t="s">
        <v>671</v>
      </c>
      <c r="C43" s="148">
        <f>C24+C28+C29+C31+C30+C32+C33+C38</f>
        <v>236713</v>
      </c>
      <c r="D43" s="148">
        <f>D24+D28+D29+D31+D30+D32+D33+D38</f>
        <v>236713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672</v>
      </c>
      <c r="B44" s="470" t="s">
        <v>673</v>
      </c>
      <c r="C44" s="147">
        <f>C43+C21+C19+C9</f>
        <v>240427</v>
      </c>
      <c r="D44" s="147">
        <f>D43+D21+D19+D9</f>
        <v>236713</v>
      </c>
      <c r="E44" s="163">
        <f>E43+E21+E19+E9</f>
        <v>3714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674</v>
      </c>
      <c r="B47" s="476"/>
      <c r="C47" s="478"/>
      <c r="D47" s="478"/>
      <c r="E47" s="478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459</v>
      </c>
      <c r="B48" s="465" t="s">
        <v>7</v>
      </c>
      <c r="C48" s="479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606</v>
      </c>
      <c r="E49" s="468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7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678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679</v>
      </c>
      <c r="B52" s="472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681</v>
      </c>
      <c r="B53" s="472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683</v>
      </c>
      <c r="B54" s="472" t="s">
        <v>684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668</v>
      </c>
      <c r="B55" s="472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686</v>
      </c>
      <c r="B56" s="472" t="s">
        <v>687</v>
      </c>
      <c r="C56" s="147">
        <f>C57+C59</f>
        <v>24179</v>
      </c>
      <c r="D56" s="147">
        <f>D57+D59</f>
        <v>0</v>
      </c>
      <c r="E56" s="164">
        <f t="shared" si="2"/>
        <v>24179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688</v>
      </c>
      <c r="B57" s="472" t="s">
        <v>689</v>
      </c>
      <c r="C57" s="152">
        <f>'справка №1-БАЛАНС'!G44</f>
        <v>24179</v>
      </c>
      <c r="D57" s="152"/>
      <c r="E57" s="164">
        <f t="shared" si="2"/>
        <v>24179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690</v>
      </c>
      <c r="B58" s="472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692</v>
      </c>
      <c r="B59" s="472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690</v>
      </c>
      <c r="B60" s="472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137</v>
      </c>
      <c r="B61" s="472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140</v>
      </c>
      <c r="B62" s="472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697</v>
      </c>
      <c r="B63" s="472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699</v>
      </c>
      <c r="B64" s="472" t="s">
        <v>700</v>
      </c>
      <c r="C64" s="152">
        <f>'справка №1-БАЛАНС'!G48+'справка №1-БАЛАНС'!G51</f>
        <v>6904</v>
      </c>
      <c r="D64" s="152"/>
      <c r="E64" s="164">
        <f t="shared" si="2"/>
        <v>6904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701</v>
      </c>
      <c r="B65" s="472" t="s">
        <v>702</v>
      </c>
      <c r="C65" s="153">
        <v>1507</v>
      </c>
      <c r="D65" s="153"/>
      <c r="E65" s="164">
        <f t="shared" si="2"/>
        <v>1507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703</v>
      </c>
      <c r="B66" s="469" t="s">
        <v>704</v>
      </c>
      <c r="C66" s="147">
        <f>C52+C56+C61+C62+C63+C64</f>
        <v>31083</v>
      </c>
      <c r="D66" s="147">
        <f>D52+D56+D61+D62+D63+D64</f>
        <v>0</v>
      </c>
      <c r="E66" s="164">
        <f t="shared" si="2"/>
        <v>31083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705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706</v>
      </c>
      <c r="B68" s="482" t="s">
        <v>707</v>
      </c>
      <c r="C68" s="152">
        <f>'справка №1-БАЛАНС'!G53</f>
        <v>7803</v>
      </c>
      <c r="D68" s="152"/>
      <c r="E68" s="164">
        <f t="shared" si="2"/>
        <v>7803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708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679</v>
      </c>
      <c r="B71" s="472" t="s">
        <v>709</v>
      </c>
      <c r="C71" s="149">
        <f>SUM(C72:C74)</f>
        <v>4433</v>
      </c>
      <c r="D71" s="149">
        <f>SUM(D72:D74)</f>
        <v>4433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710</v>
      </c>
      <c r="B72" s="472" t="s">
        <v>711</v>
      </c>
      <c r="C72" s="152">
        <v>4377</v>
      </c>
      <c r="D72" s="152">
        <f>+C72</f>
        <v>4377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712</v>
      </c>
      <c r="B73" s="472" t="s">
        <v>713</v>
      </c>
      <c r="C73" s="152">
        <v>0</v>
      </c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714</v>
      </c>
      <c r="B74" s="472" t="s">
        <v>715</v>
      </c>
      <c r="C74" s="152">
        <v>56</v>
      </c>
      <c r="D74" s="152">
        <f>+C74</f>
        <v>56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686</v>
      </c>
      <c r="B75" s="472" t="s">
        <v>716</v>
      </c>
      <c r="C75" s="147">
        <f>C76+C78</f>
        <v>149781</v>
      </c>
      <c r="D75" s="147">
        <f>D76+D78</f>
        <v>149781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717</v>
      </c>
      <c r="B76" s="472" t="s">
        <v>718</v>
      </c>
      <c r="C76" s="152">
        <f>'справка №1-БАЛАНС'!G59</f>
        <v>149781</v>
      </c>
      <c r="D76" s="152">
        <f>+C76</f>
        <v>149781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719</v>
      </c>
      <c r="B77" s="472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721</v>
      </c>
      <c r="B78" s="472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690</v>
      </c>
      <c r="B79" s="472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724</v>
      </c>
      <c r="B80" s="472" t="s">
        <v>725</v>
      </c>
      <c r="C80" s="147">
        <f>SUM(C81:C84)</f>
        <v>43401</v>
      </c>
      <c r="D80" s="147">
        <f>SUM(D81:D84)</f>
        <v>43401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726</v>
      </c>
      <c r="B81" s="472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728</v>
      </c>
      <c r="B82" s="472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730</v>
      </c>
      <c r="B83" s="472" t="s">
        <v>731</v>
      </c>
      <c r="C83" s="152">
        <f>'справка №1-БАЛАНС'!G60</f>
        <v>43401</v>
      </c>
      <c r="D83" s="152">
        <f>+C83</f>
        <v>43401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732</v>
      </c>
      <c r="B84" s="472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734</v>
      </c>
      <c r="B85" s="472" t="s">
        <v>735</v>
      </c>
      <c r="C85" s="148">
        <f>SUM(C86:C90)+C94</f>
        <v>59127</v>
      </c>
      <c r="D85" s="148">
        <f>SUM(D86:D90)+D94</f>
        <v>59127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736</v>
      </c>
      <c r="B86" s="472" t="s">
        <v>737</v>
      </c>
      <c r="C86" s="152">
        <v>0</v>
      </c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738</v>
      </c>
      <c r="B87" s="472" t="s">
        <v>739</v>
      </c>
      <c r="C87" s="152">
        <v>48430</v>
      </c>
      <c r="D87" s="152">
        <f>+C87</f>
        <v>48430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740</v>
      </c>
      <c r="B88" s="472" t="s">
        <v>741</v>
      </c>
      <c r="C88" s="152">
        <v>1597</v>
      </c>
      <c r="D88" s="152">
        <f>+C88</f>
        <v>1597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742</v>
      </c>
      <c r="B89" s="472" t="s">
        <v>743</v>
      </c>
      <c r="C89" s="152">
        <v>4739</v>
      </c>
      <c r="D89" s="152">
        <f>+C89</f>
        <v>4739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744</v>
      </c>
      <c r="B90" s="472" t="s">
        <v>745</v>
      </c>
      <c r="C90" s="147">
        <f>SUM(C91:C93)</f>
        <v>3138</v>
      </c>
      <c r="D90" s="147">
        <f>SUM(D91:D93)</f>
        <v>3138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746</v>
      </c>
      <c r="B91" s="472" t="s">
        <v>747</v>
      </c>
      <c r="C91" s="152">
        <v>384</v>
      </c>
      <c r="D91" s="152">
        <f>+C91</f>
        <v>384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654</v>
      </c>
      <c r="B92" s="472" t="s">
        <v>748</v>
      </c>
      <c r="C92" s="152">
        <v>2235</v>
      </c>
      <c r="D92" s="152">
        <f>+C92</f>
        <v>2235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658</v>
      </c>
      <c r="B93" s="472" t="s">
        <v>749</v>
      </c>
      <c r="C93" s="152">
        <v>519</v>
      </c>
      <c r="D93" s="152">
        <f>+C93</f>
        <v>519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750</v>
      </c>
      <c r="B94" s="472" t="s">
        <v>751</v>
      </c>
      <c r="C94" s="152">
        <v>1223</v>
      </c>
      <c r="D94" s="152">
        <f>+C94</f>
        <v>1223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752</v>
      </c>
      <c r="B95" s="472" t="s">
        <v>753</v>
      </c>
      <c r="C95" s="152">
        <v>2748</v>
      </c>
      <c r="D95" s="152">
        <f>+C95</f>
        <v>2748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754</v>
      </c>
      <c r="B96" s="482" t="s">
        <v>755</v>
      </c>
      <c r="C96" s="148">
        <f>C85+C80+C75+C71+C95</f>
        <v>259490</v>
      </c>
      <c r="D96" s="148">
        <f>D85+D80+D75+D71+D95</f>
        <v>259490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756</v>
      </c>
      <c r="B97" s="470" t="s">
        <v>757</v>
      </c>
      <c r="C97" s="148">
        <f>C96+C68+C66</f>
        <v>298376</v>
      </c>
      <c r="D97" s="148">
        <f>D96+D68+D66</f>
        <v>259490</v>
      </c>
      <c r="E97" s="148">
        <f>E96+E68+E66</f>
        <v>38886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758</v>
      </c>
      <c r="B99" s="485"/>
      <c r="C99" s="157"/>
      <c r="D99" s="157"/>
      <c r="E99" s="157"/>
      <c r="F99" s="486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70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70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763</v>
      </c>
      <c r="B102" s="472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765</v>
      </c>
      <c r="B103" s="472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767</v>
      </c>
      <c r="B104" s="472" t="s">
        <v>768</v>
      </c>
      <c r="C104" s="152">
        <v>102</v>
      </c>
      <c r="D104" s="152"/>
      <c r="E104" s="152">
        <v>3</v>
      </c>
      <c r="F104" s="171">
        <f>C104+D104-E104</f>
        <v>99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769</v>
      </c>
      <c r="B105" s="470" t="s">
        <v>770</v>
      </c>
      <c r="C105" s="147">
        <f>SUM(C102:C104)</f>
        <v>102</v>
      </c>
      <c r="D105" s="147">
        <f>SUM(D102:D104)</f>
        <v>0</v>
      </c>
      <c r="E105" s="147">
        <f>SUM(E102:E104)</f>
        <v>3</v>
      </c>
      <c r="F105" s="147">
        <f>SUM(F102:F104)</f>
        <v>99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771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0" t="s">
        <v>772</v>
      </c>
      <c r="B107" s="620"/>
      <c r="C107" s="620"/>
      <c r="D107" s="620"/>
      <c r="E107" s="620"/>
      <c r="F107" s="620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19" t="s">
        <v>895</v>
      </c>
      <c r="B109" s="619"/>
      <c r="C109" s="619" t="s">
        <v>850</v>
      </c>
      <c r="D109" s="619"/>
      <c r="E109" s="619"/>
      <c r="F109" s="619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8" t="s">
        <v>851</v>
      </c>
      <c r="D111" s="618"/>
      <c r="E111" s="618"/>
      <c r="F111" s="618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884</v>
      </c>
      <c r="F2" s="500"/>
      <c r="G2" s="500"/>
      <c r="H2" s="498"/>
      <c r="I2" s="498"/>
    </row>
    <row r="3" spans="1:9" ht="12">
      <c r="A3" s="498"/>
      <c r="B3" s="499"/>
      <c r="C3" s="501" t="s">
        <v>774</v>
      </c>
      <c r="D3" s="501"/>
      <c r="E3" s="501"/>
      <c r="F3" s="501"/>
      <c r="G3" s="501"/>
      <c r="H3" s="498"/>
      <c r="I3" s="498"/>
    </row>
    <row r="4" spans="1:9" ht="15" customHeight="1">
      <c r="A4" s="423" t="s">
        <v>379</v>
      </c>
      <c r="B4" s="559"/>
      <c r="C4" s="595" t="str">
        <f>'справка №1-БАЛАНС'!E3</f>
        <v>СОФАРМА АД</v>
      </c>
      <c r="D4" s="601"/>
      <c r="E4" s="601"/>
      <c r="F4" s="559"/>
      <c r="G4" s="561" t="s">
        <v>1</v>
      </c>
      <c r="H4" s="561"/>
      <c r="I4" s="570">
        <f>'справка №1-БАЛАНС'!H3</f>
        <v>831902088</v>
      </c>
    </row>
    <row r="5" spans="1:9" ht="15">
      <c r="A5" s="505" t="s">
        <v>4</v>
      </c>
      <c r="B5" s="560"/>
      <c r="C5" s="595" t="str">
        <f>'справка №1-БАЛАНС'!E5</f>
        <v>01.01.-31.03.2012</v>
      </c>
      <c r="D5" s="626"/>
      <c r="E5" s="626"/>
      <c r="F5" s="560"/>
      <c r="G5" s="349" t="s">
        <v>3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775</v>
      </c>
    </row>
    <row r="7" spans="1:9" s="121" customFormat="1" ht="12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785</v>
      </c>
      <c r="B12" s="131" t="s">
        <v>786</v>
      </c>
      <c r="C12" s="529">
        <v>5826103</v>
      </c>
      <c r="D12" s="140"/>
      <c r="E12" s="140"/>
      <c r="F12" s="140">
        <v>20245</v>
      </c>
      <c r="G12" s="140"/>
      <c r="H12" s="140"/>
      <c r="I12" s="524">
        <f>F12+G12-H12</f>
        <v>20245</v>
      </c>
    </row>
    <row r="13" spans="1:9" s="114" customFormat="1" ht="12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558</v>
      </c>
      <c r="B17" s="133" t="s">
        <v>793</v>
      </c>
      <c r="C17" s="126">
        <f aca="true" t="shared" si="1" ref="C17:H17">C12+C13+C15+C16</f>
        <v>5826103</v>
      </c>
      <c r="D17" s="126">
        <f t="shared" si="1"/>
        <v>0</v>
      </c>
      <c r="E17" s="126">
        <f t="shared" si="1"/>
        <v>0</v>
      </c>
      <c r="F17" s="126">
        <f t="shared" si="1"/>
        <v>20245</v>
      </c>
      <c r="G17" s="126">
        <f t="shared" si="1"/>
        <v>0</v>
      </c>
      <c r="H17" s="126">
        <f t="shared" si="1"/>
        <v>0</v>
      </c>
      <c r="I17" s="524">
        <f t="shared" si="0"/>
        <v>20245</v>
      </c>
    </row>
    <row r="18" spans="1:9" s="114" customFormat="1" ht="12">
      <c r="A18" s="129" t="s">
        <v>794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796</v>
      </c>
      <c r="B20" s="131" t="s">
        <v>797</v>
      </c>
      <c r="C20" s="140">
        <v>2936620</v>
      </c>
      <c r="D20" s="140"/>
      <c r="E20" s="140"/>
      <c r="F20" s="140">
        <v>11496</v>
      </c>
      <c r="G20" s="140"/>
      <c r="H20" s="140"/>
      <c r="I20" s="524">
        <f t="shared" si="0"/>
        <v>11496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800</v>
      </c>
      <c r="B22" s="131" t="s">
        <v>801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575</v>
      </c>
      <c r="B26" s="133" t="s">
        <v>808</v>
      </c>
      <c r="C26" s="126">
        <f aca="true" t="shared" si="2" ref="C26:H26">SUM(C19:C25)</f>
        <v>2936620</v>
      </c>
      <c r="D26" s="126">
        <f t="shared" si="2"/>
        <v>0</v>
      </c>
      <c r="E26" s="126">
        <f t="shared" si="2"/>
        <v>0</v>
      </c>
      <c r="F26" s="126">
        <f t="shared" si="2"/>
        <v>11496</v>
      </c>
      <c r="G26" s="126">
        <f t="shared" si="2"/>
        <v>0</v>
      </c>
      <c r="H26" s="126">
        <f t="shared" si="2"/>
        <v>0</v>
      </c>
      <c r="I26" s="524">
        <f t="shared" si="0"/>
        <v>11496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809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892</v>
      </c>
      <c r="B30" s="625"/>
      <c r="C30" s="625"/>
      <c r="D30" s="549" t="s">
        <v>810</v>
      </c>
      <c r="E30" s="624"/>
      <c r="F30" s="624"/>
      <c r="G30" s="624"/>
      <c r="H30" s="502" t="s">
        <v>854</v>
      </c>
      <c r="I30" s="624"/>
      <c r="J30" s="624"/>
    </row>
    <row r="31" spans="1:9" s="114" customFormat="1" ht="12">
      <c r="A31" s="420"/>
      <c r="B31" s="503"/>
      <c r="C31" s="420"/>
      <c r="D31" s="493" t="s">
        <v>852</v>
      </c>
      <c r="E31" s="493"/>
      <c r="F31" s="493"/>
      <c r="G31" s="493"/>
      <c r="H31" s="493" t="s">
        <v>855</v>
      </c>
      <c r="I31" s="493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="86" zoomScaleNormal="86" zoomScalePageLayoutView="0" workbookViewId="0" topLeftCell="A1">
      <selection activeCell="A154" sqref="A154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883</v>
      </c>
      <c r="B2" s="194"/>
      <c r="C2" s="194"/>
      <c r="D2" s="194"/>
      <c r="E2" s="194"/>
      <c r="F2" s="194"/>
    </row>
    <row r="3" spans="1:6" ht="12.75" customHeight="1">
      <c r="A3" s="194" t="s">
        <v>811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595" t="str">
        <f>'справка №1-БАЛАНС'!E3</f>
        <v>СОФАРМА АД</v>
      </c>
      <c r="C5" s="600"/>
      <c r="D5" s="568"/>
      <c r="E5" s="348" t="s">
        <v>1</v>
      </c>
      <c r="F5" s="571">
        <f>'справка №1-БАЛАНС'!H3</f>
        <v>831902088</v>
      </c>
    </row>
    <row r="6" spans="1:13" ht="15" customHeight="1">
      <c r="A6" s="53" t="s">
        <v>812</v>
      </c>
      <c r="B6" s="595" t="str">
        <f>'справка №1-БАЛАНС'!E5</f>
        <v>01.01.-31.03.2012</v>
      </c>
      <c r="C6" s="626"/>
      <c r="D6" s="54"/>
      <c r="E6" s="349" t="s">
        <v>3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9"/>
      <c r="C7" s="628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519"/>
      <c r="D10" s="519"/>
      <c r="E10" s="519"/>
      <c r="F10" s="519"/>
    </row>
    <row r="11" spans="1:6" ht="18" customHeight="1">
      <c r="A11" s="65" t="s">
        <v>819</v>
      </c>
      <c r="B11" s="66"/>
      <c r="C11" s="519"/>
      <c r="D11" s="581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82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82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82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82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82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82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82"/>
      <c r="E26" s="531"/>
      <c r="F26" s="533">
        <f t="shared" si="0"/>
        <v>0</v>
      </c>
    </row>
    <row r="27" spans="1:16" ht="11.25" customHeight="1">
      <c r="A27" s="67" t="s">
        <v>558</v>
      </c>
      <c r="B27" s="68" t="s">
        <v>820</v>
      </c>
      <c r="C27" s="519">
        <f>SUM(C12:C26)</f>
        <v>0</v>
      </c>
      <c r="D27" s="581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821</v>
      </c>
      <c r="B28" s="69"/>
      <c r="C28" s="519"/>
      <c r="D28" s="581"/>
      <c r="E28" s="519"/>
      <c r="F28" s="532"/>
    </row>
    <row r="29" spans="1:6" ht="12.75">
      <c r="A29" s="65" t="s">
        <v>537</v>
      </c>
      <c r="B29" s="69"/>
      <c r="C29" s="531"/>
      <c r="D29" s="582"/>
      <c r="E29" s="531"/>
      <c r="F29" s="533">
        <f>C29-E29</f>
        <v>0</v>
      </c>
    </row>
    <row r="30" spans="1:6" ht="12.75">
      <c r="A30" s="65" t="s">
        <v>540</v>
      </c>
      <c r="B30" s="69"/>
      <c r="C30" s="531"/>
      <c r="D30" s="582"/>
      <c r="E30" s="531"/>
      <c r="F30" s="533">
        <f aca="true" t="shared" si="1" ref="F30:F43">C30-E30</f>
        <v>0</v>
      </c>
    </row>
    <row r="31" spans="1:6" ht="12.75">
      <c r="A31" s="65" t="s">
        <v>543</v>
      </c>
      <c r="B31" s="69"/>
      <c r="C31" s="531"/>
      <c r="D31" s="582"/>
      <c r="E31" s="531"/>
      <c r="F31" s="533">
        <f t="shared" si="1"/>
        <v>0</v>
      </c>
    </row>
    <row r="32" spans="1:6" ht="12.75">
      <c r="A32" s="65" t="s">
        <v>546</v>
      </c>
      <c r="B32" s="69"/>
      <c r="C32" s="531"/>
      <c r="D32" s="582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82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82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82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82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82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82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82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82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82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82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82"/>
      <c r="E43" s="531"/>
      <c r="F43" s="533">
        <f t="shared" si="1"/>
        <v>0</v>
      </c>
    </row>
    <row r="44" spans="1:16" ht="15" customHeight="1">
      <c r="A44" s="67" t="s">
        <v>575</v>
      </c>
      <c r="B44" s="68" t="s">
        <v>822</v>
      </c>
      <c r="C44" s="519">
        <f>SUM(C29:C43)</f>
        <v>0</v>
      </c>
      <c r="D44" s="581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823</v>
      </c>
      <c r="B45" s="69"/>
      <c r="C45" s="519"/>
      <c r="D45" s="581"/>
      <c r="E45" s="519"/>
      <c r="F45" s="532"/>
    </row>
    <row r="46" spans="1:6" ht="12.75">
      <c r="A46" s="65">
        <v>1</v>
      </c>
      <c r="B46" s="69"/>
      <c r="C46" s="531"/>
      <c r="D46" s="582"/>
      <c r="E46" s="531">
        <f>+C46</f>
        <v>0</v>
      </c>
      <c r="F46" s="533">
        <f>C46-E46</f>
        <v>0</v>
      </c>
    </row>
    <row r="47" spans="1:6" ht="12.75">
      <c r="A47" s="65" t="s">
        <v>540</v>
      </c>
      <c r="B47" s="69"/>
      <c r="C47" s="531"/>
      <c r="D47" s="582"/>
      <c r="E47" s="531"/>
      <c r="F47" s="533">
        <f aca="true" t="shared" si="2" ref="F47:F60">C47-E47</f>
        <v>0</v>
      </c>
    </row>
    <row r="48" spans="1:6" ht="12.75">
      <c r="A48" s="65" t="s">
        <v>543</v>
      </c>
      <c r="B48" s="69"/>
      <c r="C48" s="531"/>
      <c r="D48" s="582"/>
      <c r="E48" s="531"/>
      <c r="F48" s="533">
        <f t="shared" si="2"/>
        <v>0</v>
      </c>
    </row>
    <row r="49" spans="1:6" ht="12.75">
      <c r="A49" s="65" t="s">
        <v>546</v>
      </c>
      <c r="B49" s="69"/>
      <c r="C49" s="531"/>
      <c r="D49" s="582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82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82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82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82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82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82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82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82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82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82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82"/>
      <c r="E60" s="531"/>
      <c r="F60" s="533">
        <f t="shared" si="2"/>
        <v>0</v>
      </c>
    </row>
    <row r="61" spans="1:16" ht="12" customHeight="1">
      <c r="A61" s="67" t="s">
        <v>594</v>
      </c>
      <c r="B61" s="68" t="s">
        <v>824</v>
      </c>
      <c r="C61" s="519">
        <f>SUM(C46:C60)</f>
        <v>0</v>
      </c>
      <c r="D61" s="581"/>
      <c r="E61" s="519">
        <f>SUM(E46:E60)</f>
        <v>0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825</v>
      </c>
      <c r="B62" s="69"/>
      <c r="C62" s="519"/>
      <c r="D62" s="581"/>
      <c r="E62" s="519"/>
      <c r="F62" s="532"/>
    </row>
    <row r="63" spans="1:6" ht="12.75">
      <c r="A63" s="65" t="s">
        <v>857</v>
      </c>
      <c r="B63" s="69"/>
      <c r="C63" s="531">
        <v>12864</v>
      </c>
      <c r="D63" s="582">
        <v>0.1485</v>
      </c>
      <c r="E63" s="531">
        <f>+C63</f>
        <v>12864</v>
      </c>
      <c r="F63" s="533">
        <f>C63-E63</f>
        <v>0</v>
      </c>
    </row>
    <row r="64" spans="1:6" ht="12.75">
      <c r="A64" s="65" t="s">
        <v>867</v>
      </c>
      <c r="B64" s="69"/>
      <c r="C64" s="531">
        <v>2420</v>
      </c>
      <c r="D64" s="582">
        <v>0.1013</v>
      </c>
      <c r="E64" s="531">
        <f>+C64</f>
        <v>2420</v>
      </c>
      <c r="F64" s="533">
        <f aca="true" t="shared" si="3" ref="F64:F76">C64-E64</f>
        <v>0</v>
      </c>
    </row>
    <row r="65" spans="1:6" ht="12.75">
      <c r="A65" s="65" t="s">
        <v>868</v>
      </c>
      <c r="B65" s="69"/>
      <c r="C65" s="531">
        <v>7</v>
      </c>
      <c r="D65" s="582">
        <v>0.0148</v>
      </c>
      <c r="E65" s="531"/>
      <c r="F65" s="533">
        <f t="shared" si="3"/>
        <v>7</v>
      </c>
    </row>
    <row r="66" spans="1:6" ht="12.75">
      <c r="A66" s="65" t="s">
        <v>869</v>
      </c>
      <c r="B66" s="66"/>
      <c r="C66" s="531">
        <v>146</v>
      </c>
      <c r="D66" s="582">
        <v>0.0368</v>
      </c>
      <c r="E66" s="531">
        <f>+C66</f>
        <v>146</v>
      </c>
      <c r="F66" s="533">
        <f t="shared" si="3"/>
        <v>0</v>
      </c>
    </row>
    <row r="67" spans="1:6" ht="12.75">
      <c r="A67" s="65" t="s">
        <v>870</v>
      </c>
      <c r="B67" s="66"/>
      <c r="C67" s="531">
        <v>3</v>
      </c>
      <c r="D67" s="583">
        <v>1E-05</v>
      </c>
      <c r="E67" s="531">
        <f>+C67</f>
        <v>3</v>
      </c>
      <c r="F67" s="533">
        <f t="shared" si="3"/>
        <v>0</v>
      </c>
    </row>
    <row r="68" spans="1:6" ht="12.75">
      <c r="A68" s="65" t="s">
        <v>871</v>
      </c>
      <c r="B68" s="66"/>
      <c r="C68" s="531">
        <v>15</v>
      </c>
      <c r="D68" s="582">
        <v>0.005</v>
      </c>
      <c r="E68" s="531">
        <v>0</v>
      </c>
      <c r="F68" s="533">
        <f t="shared" si="3"/>
        <v>15</v>
      </c>
    </row>
    <row r="69" spans="1:6" ht="12.75">
      <c r="A69" s="65" t="s">
        <v>872</v>
      </c>
      <c r="B69" s="66"/>
      <c r="C69" s="531">
        <v>70</v>
      </c>
      <c r="D69" s="582"/>
      <c r="E69" s="531">
        <v>0</v>
      </c>
      <c r="F69" s="533">
        <f t="shared" si="3"/>
        <v>70</v>
      </c>
    </row>
    <row r="70" spans="1:6" ht="12.75">
      <c r="A70" s="65" t="s">
        <v>873</v>
      </c>
      <c r="B70" s="66"/>
      <c r="C70" s="531">
        <v>96</v>
      </c>
      <c r="D70" s="582">
        <v>0.0667</v>
      </c>
      <c r="E70" s="531">
        <f>+C70</f>
        <v>96</v>
      </c>
      <c r="F70" s="533">
        <f t="shared" si="3"/>
        <v>0</v>
      </c>
    </row>
    <row r="71" spans="1:6" ht="12.75">
      <c r="A71" s="65" t="s">
        <v>874</v>
      </c>
      <c r="B71" s="66"/>
      <c r="C71" s="531">
        <v>167</v>
      </c>
      <c r="D71" s="583">
        <v>0.0057</v>
      </c>
      <c r="E71" s="531">
        <f>+C71</f>
        <v>167</v>
      </c>
      <c r="F71" s="533">
        <f t="shared" si="3"/>
        <v>0</v>
      </c>
    </row>
    <row r="72" spans="1:6" ht="12.75">
      <c r="A72" s="65" t="s">
        <v>875</v>
      </c>
      <c r="B72" s="66"/>
      <c r="C72" s="531">
        <v>2</v>
      </c>
      <c r="D72" s="582">
        <v>0.0001</v>
      </c>
      <c r="E72" s="531">
        <v>0</v>
      </c>
      <c r="F72" s="533">
        <f t="shared" si="3"/>
        <v>2</v>
      </c>
    </row>
    <row r="73" spans="1:6" ht="12.75">
      <c r="A73" s="65" t="s">
        <v>876</v>
      </c>
      <c r="B73" s="66"/>
      <c r="C73" s="531">
        <v>665</v>
      </c>
      <c r="D73" s="582">
        <v>0.19</v>
      </c>
      <c r="E73" s="531">
        <v>0</v>
      </c>
      <c r="F73" s="533">
        <f t="shared" si="3"/>
        <v>665</v>
      </c>
    </row>
    <row r="74" spans="1:6" ht="12" customHeight="1">
      <c r="A74" s="65" t="s">
        <v>881</v>
      </c>
      <c r="B74" s="66"/>
      <c r="C74" s="531">
        <v>4</v>
      </c>
      <c r="D74" s="582">
        <v>0.0003</v>
      </c>
      <c r="E74" s="531">
        <v>4</v>
      </c>
      <c r="F74" s="533">
        <f t="shared" si="3"/>
        <v>0</v>
      </c>
    </row>
    <row r="75" spans="1:6" ht="12.75">
      <c r="A75" s="65" t="s">
        <v>877</v>
      </c>
      <c r="B75" s="66"/>
      <c r="C75" s="531">
        <v>12</v>
      </c>
      <c r="D75" s="582">
        <v>0.003</v>
      </c>
      <c r="E75" s="531">
        <v>0</v>
      </c>
      <c r="F75" s="533">
        <f t="shared" si="3"/>
        <v>12</v>
      </c>
    </row>
    <row r="76" spans="1:6" ht="12.75">
      <c r="A76" s="65" t="s">
        <v>880</v>
      </c>
      <c r="B76" s="66"/>
      <c r="C76" s="531">
        <v>1</v>
      </c>
      <c r="D76" s="582">
        <v>0.0003</v>
      </c>
      <c r="E76" s="531">
        <v>1</v>
      </c>
      <c r="F76" s="533">
        <f t="shared" si="3"/>
        <v>0</v>
      </c>
    </row>
    <row r="77" spans="1:6" ht="12.75">
      <c r="A77" s="65" t="s">
        <v>882</v>
      </c>
      <c r="B77" s="66"/>
      <c r="C77" s="531">
        <v>732</v>
      </c>
      <c r="D77" s="582">
        <v>0.0858</v>
      </c>
      <c r="E77" s="531">
        <v>732</v>
      </c>
      <c r="F77" s="533">
        <f>C77-E77</f>
        <v>0</v>
      </c>
    </row>
    <row r="78" spans="1:6" ht="12.75">
      <c r="A78" s="65" t="s">
        <v>897</v>
      </c>
      <c r="B78" s="66"/>
      <c r="C78" s="531">
        <v>100</v>
      </c>
      <c r="D78" s="582">
        <v>0.0001</v>
      </c>
      <c r="E78" s="531"/>
      <c r="F78" s="533"/>
    </row>
    <row r="79" spans="1:6" ht="12.75">
      <c r="A79" s="65" t="s">
        <v>898</v>
      </c>
      <c r="B79" s="66"/>
      <c r="C79" s="531">
        <v>47</v>
      </c>
      <c r="D79" s="582">
        <v>0.0497</v>
      </c>
      <c r="E79" s="531">
        <v>47</v>
      </c>
      <c r="F79" s="533">
        <f>C79-E79</f>
        <v>0</v>
      </c>
    </row>
    <row r="80" spans="1:16" ht="14.25" customHeight="1">
      <c r="A80" s="67" t="s">
        <v>826</v>
      </c>
      <c r="B80" s="68" t="s">
        <v>827</v>
      </c>
      <c r="C80" s="519">
        <f>SUM(C63:C79)</f>
        <v>17351</v>
      </c>
      <c r="D80" s="581"/>
      <c r="E80" s="519">
        <f>SUM(E63:E79)</f>
        <v>16480</v>
      </c>
      <c r="F80" s="532">
        <f>SUM(F63:F79)</f>
        <v>771</v>
      </c>
      <c r="G80" s="509"/>
      <c r="H80" s="509"/>
      <c r="I80" s="509"/>
      <c r="J80" s="509"/>
      <c r="K80" s="509"/>
      <c r="L80" s="509"/>
      <c r="M80" s="509"/>
      <c r="N80" s="509"/>
      <c r="O80" s="509"/>
      <c r="P80" s="509"/>
    </row>
    <row r="81" spans="1:16" ht="20.25" customHeight="1">
      <c r="A81" s="70" t="s">
        <v>828</v>
      </c>
      <c r="B81" s="68" t="s">
        <v>829</v>
      </c>
      <c r="C81" s="519">
        <f>C80+C61+C44+C27</f>
        <v>17351</v>
      </c>
      <c r="D81" s="581"/>
      <c r="E81" s="519">
        <f>E80+E61+E44+E27</f>
        <v>16480</v>
      </c>
      <c r="F81" s="532">
        <f>F80+F61+F44+F27</f>
        <v>771</v>
      </c>
      <c r="G81" s="509"/>
      <c r="H81" s="509"/>
      <c r="I81" s="509"/>
      <c r="J81" s="509"/>
      <c r="K81" s="509"/>
      <c r="L81" s="509"/>
      <c r="M81" s="509"/>
      <c r="N81" s="509"/>
      <c r="O81" s="509"/>
      <c r="P81" s="509"/>
    </row>
    <row r="82" spans="1:6" ht="15" customHeight="1">
      <c r="A82" s="63" t="s">
        <v>830</v>
      </c>
      <c r="B82" s="68"/>
      <c r="C82" s="519"/>
      <c r="D82" s="581"/>
      <c r="E82" s="519"/>
      <c r="F82" s="532"/>
    </row>
    <row r="83" spans="1:6" ht="14.25" customHeight="1">
      <c r="A83" s="65" t="s">
        <v>819</v>
      </c>
      <c r="B83" s="69"/>
      <c r="C83" s="519"/>
      <c r="D83" s="581"/>
      <c r="E83" s="519"/>
      <c r="F83" s="532"/>
    </row>
    <row r="84" spans="1:6" ht="12.75">
      <c r="A84" s="65">
        <v>1</v>
      </c>
      <c r="B84" s="69"/>
      <c r="C84" s="531"/>
      <c r="D84" s="582"/>
      <c r="E84" s="531"/>
      <c r="F84" s="533">
        <f>C84-E84</f>
        <v>0</v>
      </c>
    </row>
    <row r="85" spans="1:6" ht="12.75">
      <c r="A85" s="65">
        <v>2</v>
      </c>
      <c r="B85" s="69"/>
      <c r="C85" s="531"/>
      <c r="D85" s="582"/>
      <c r="E85" s="531"/>
      <c r="F85" s="533">
        <f aca="true" t="shared" si="4" ref="F85:F98">C85-E85</f>
        <v>0</v>
      </c>
    </row>
    <row r="86" spans="1:6" ht="12.75">
      <c r="A86" s="65">
        <v>3</v>
      </c>
      <c r="B86" s="69"/>
      <c r="C86" s="531"/>
      <c r="D86" s="582"/>
      <c r="E86" s="531"/>
      <c r="F86" s="533">
        <f t="shared" si="4"/>
        <v>0</v>
      </c>
    </row>
    <row r="87" spans="1:6" ht="12.75">
      <c r="A87" s="65">
        <v>4</v>
      </c>
      <c r="B87" s="69"/>
      <c r="C87" s="531"/>
      <c r="D87" s="582"/>
      <c r="E87" s="531"/>
      <c r="F87" s="533">
        <f t="shared" si="4"/>
        <v>0</v>
      </c>
    </row>
    <row r="88" spans="1:6" ht="12.75">
      <c r="A88" s="65">
        <v>5</v>
      </c>
      <c r="B88" s="66"/>
      <c r="C88" s="531"/>
      <c r="D88" s="582"/>
      <c r="E88" s="531"/>
      <c r="F88" s="533">
        <f t="shared" si="4"/>
        <v>0</v>
      </c>
    </row>
    <row r="89" spans="1:6" ht="12.75">
      <c r="A89" s="65">
        <v>6</v>
      </c>
      <c r="B89" s="66"/>
      <c r="C89" s="531"/>
      <c r="D89" s="582"/>
      <c r="E89" s="531"/>
      <c r="F89" s="533">
        <f t="shared" si="4"/>
        <v>0</v>
      </c>
    </row>
    <row r="90" spans="1:6" ht="12.75">
      <c r="A90" s="65">
        <v>7</v>
      </c>
      <c r="B90" s="66"/>
      <c r="C90" s="531"/>
      <c r="D90" s="582"/>
      <c r="E90" s="531"/>
      <c r="F90" s="533">
        <f t="shared" si="4"/>
        <v>0</v>
      </c>
    </row>
    <row r="91" spans="1:6" ht="12.75">
      <c r="A91" s="65">
        <v>8</v>
      </c>
      <c r="B91" s="66"/>
      <c r="C91" s="531"/>
      <c r="D91" s="582"/>
      <c r="E91" s="531"/>
      <c r="F91" s="533">
        <f t="shared" si="4"/>
        <v>0</v>
      </c>
    </row>
    <row r="92" spans="1:6" ht="12" customHeight="1">
      <c r="A92" s="65">
        <v>9</v>
      </c>
      <c r="B92" s="66"/>
      <c r="C92" s="531"/>
      <c r="D92" s="582"/>
      <c r="E92" s="531"/>
      <c r="F92" s="533">
        <f t="shared" si="4"/>
        <v>0</v>
      </c>
    </row>
    <row r="93" spans="1:6" ht="12.75">
      <c r="A93" s="65">
        <v>10</v>
      </c>
      <c r="B93" s="66"/>
      <c r="C93" s="531"/>
      <c r="D93" s="582"/>
      <c r="E93" s="531"/>
      <c r="F93" s="533">
        <f t="shared" si="4"/>
        <v>0</v>
      </c>
    </row>
    <row r="94" spans="1:6" ht="12.75">
      <c r="A94" s="65">
        <v>11</v>
      </c>
      <c r="B94" s="66"/>
      <c r="C94" s="531"/>
      <c r="D94" s="582"/>
      <c r="E94" s="531"/>
      <c r="F94" s="533">
        <f t="shared" si="4"/>
        <v>0</v>
      </c>
    </row>
    <row r="95" spans="1:6" ht="12.75">
      <c r="A95" s="65">
        <v>12</v>
      </c>
      <c r="B95" s="66"/>
      <c r="C95" s="531"/>
      <c r="D95" s="582"/>
      <c r="E95" s="531"/>
      <c r="F95" s="533">
        <f t="shared" si="4"/>
        <v>0</v>
      </c>
    </row>
    <row r="96" spans="1:6" ht="12.75">
      <c r="A96" s="65">
        <v>13</v>
      </c>
      <c r="B96" s="66"/>
      <c r="C96" s="531"/>
      <c r="D96" s="582"/>
      <c r="E96" s="531"/>
      <c r="F96" s="533">
        <f t="shared" si="4"/>
        <v>0</v>
      </c>
    </row>
    <row r="97" spans="1:6" ht="12" customHeight="1">
      <c r="A97" s="65">
        <v>14</v>
      </c>
      <c r="B97" s="66"/>
      <c r="C97" s="531"/>
      <c r="D97" s="582"/>
      <c r="E97" s="531"/>
      <c r="F97" s="533">
        <f t="shared" si="4"/>
        <v>0</v>
      </c>
    </row>
    <row r="98" spans="1:6" ht="12.75">
      <c r="A98" s="65">
        <v>15</v>
      </c>
      <c r="B98" s="66"/>
      <c r="C98" s="531"/>
      <c r="D98" s="582"/>
      <c r="E98" s="531"/>
      <c r="F98" s="533">
        <f t="shared" si="4"/>
        <v>0</v>
      </c>
    </row>
    <row r="99" spans="1:16" ht="15" customHeight="1">
      <c r="A99" s="67" t="s">
        <v>558</v>
      </c>
      <c r="B99" s="68" t="s">
        <v>831</v>
      </c>
      <c r="C99" s="519">
        <f>SUM(C84:C98)</f>
        <v>0</v>
      </c>
      <c r="D99" s="581"/>
      <c r="E99" s="519">
        <f>SUM(E84:E98)</f>
        <v>0</v>
      </c>
      <c r="F99" s="532">
        <f>SUM(F84:F98)</f>
        <v>0</v>
      </c>
      <c r="G99" s="509"/>
      <c r="H99" s="509"/>
      <c r="I99" s="509"/>
      <c r="J99" s="509"/>
      <c r="K99" s="509"/>
      <c r="L99" s="509"/>
      <c r="M99" s="509"/>
      <c r="N99" s="509"/>
      <c r="O99" s="509"/>
      <c r="P99" s="509"/>
    </row>
    <row r="100" spans="1:6" ht="15.75" customHeight="1">
      <c r="A100" s="65" t="s">
        <v>821</v>
      </c>
      <c r="B100" s="69"/>
      <c r="C100" s="519"/>
      <c r="D100" s="581"/>
      <c r="E100" s="519"/>
      <c r="F100" s="532"/>
    </row>
    <row r="101" spans="1:6" ht="12.75">
      <c r="A101" s="65" t="s">
        <v>537</v>
      </c>
      <c r="B101" s="69"/>
      <c r="C101" s="531"/>
      <c r="D101" s="582"/>
      <c r="E101" s="531"/>
      <c r="F101" s="533">
        <f>C101-E101</f>
        <v>0</v>
      </c>
    </row>
    <row r="102" spans="1:6" ht="12.75">
      <c r="A102" s="65" t="s">
        <v>540</v>
      </c>
      <c r="B102" s="69"/>
      <c r="C102" s="531"/>
      <c r="D102" s="582"/>
      <c r="E102" s="531"/>
      <c r="F102" s="533">
        <f aca="true" t="shared" si="5" ref="F102:F115">C102-E102</f>
        <v>0</v>
      </c>
    </row>
    <row r="103" spans="1:6" ht="12.75">
      <c r="A103" s="65" t="s">
        <v>543</v>
      </c>
      <c r="B103" s="69"/>
      <c r="C103" s="531"/>
      <c r="D103" s="582"/>
      <c r="E103" s="531"/>
      <c r="F103" s="533">
        <f t="shared" si="5"/>
        <v>0</v>
      </c>
    </row>
    <row r="104" spans="1:6" ht="12.75">
      <c r="A104" s="65" t="s">
        <v>546</v>
      </c>
      <c r="B104" s="69"/>
      <c r="C104" s="531"/>
      <c r="D104" s="582"/>
      <c r="E104" s="531"/>
      <c r="F104" s="533">
        <f t="shared" si="5"/>
        <v>0</v>
      </c>
    </row>
    <row r="105" spans="1:6" ht="12.75">
      <c r="A105" s="65">
        <v>5</v>
      </c>
      <c r="B105" s="66"/>
      <c r="C105" s="531"/>
      <c r="D105" s="582"/>
      <c r="E105" s="531"/>
      <c r="F105" s="533">
        <f t="shared" si="5"/>
        <v>0</v>
      </c>
    </row>
    <row r="106" spans="1:6" ht="12.75">
      <c r="A106" s="65">
        <v>6</v>
      </c>
      <c r="B106" s="66"/>
      <c r="C106" s="531"/>
      <c r="D106" s="582"/>
      <c r="E106" s="531"/>
      <c r="F106" s="533">
        <f t="shared" si="5"/>
        <v>0</v>
      </c>
    </row>
    <row r="107" spans="1:6" ht="12.75">
      <c r="A107" s="65">
        <v>7</v>
      </c>
      <c r="B107" s="66"/>
      <c r="C107" s="531"/>
      <c r="D107" s="582"/>
      <c r="E107" s="531"/>
      <c r="F107" s="533">
        <f t="shared" si="5"/>
        <v>0</v>
      </c>
    </row>
    <row r="108" spans="1:6" ht="12.75">
      <c r="A108" s="65">
        <v>8</v>
      </c>
      <c r="B108" s="66"/>
      <c r="C108" s="531"/>
      <c r="D108" s="582"/>
      <c r="E108" s="531"/>
      <c r="F108" s="533">
        <f t="shared" si="5"/>
        <v>0</v>
      </c>
    </row>
    <row r="109" spans="1:6" ht="12" customHeight="1">
      <c r="A109" s="65">
        <v>9</v>
      </c>
      <c r="B109" s="66"/>
      <c r="C109" s="531"/>
      <c r="D109" s="582"/>
      <c r="E109" s="531"/>
      <c r="F109" s="533">
        <f t="shared" si="5"/>
        <v>0</v>
      </c>
    </row>
    <row r="110" spans="1:6" ht="12.75">
      <c r="A110" s="65">
        <v>10</v>
      </c>
      <c r="B110" s="66"/>
      <c r="C110" s="531"/>
      <c r="D110" s="582"/>
      <c r="E110" s="531"/>
      <c r="F110" s="533">
        <f t="shared" si="5"/>
        <v>0</v>
      </c>
    </row>
    <row r="111" spans="1:6" ht="12.75">
      <c r="A111" s="65">
        <v>11</v>
      </c>
      <c r="B111" s="66"/>
      <c r="C111" s="531"/>
      <c r="D111" s="582"/>
      <c r="E111" s="531"/>
      <c r="F111" s="533">
        <f t="shared" si="5"/>
        <v>0</v>
      </c>
    </row>
    <row r="112" spans="1:6" ht="12.75">
      <c r="A112" s="65">
        <v>12</v>
      </c>
      <c r="B112" s="66"/>
      <c r="C112" s="531"/>
      <c r="D112" s="582"/>
      <c r="E112" s="531"/>
      <c r="F112" s="533">
        <f t="shared" si="5"/>
        <v>0</v>
      </c>
    </row>
    <row r="113" spans="1:6" ht="12.75">
      <c r="A113" s="65">
        <v>13</v>
      </c>
      <c r="B113" s="66"/>
      <c r="C113" s="531"/>
      <c r="D113" s="582"/>
      <c r="E113" s="531"/>
      <c r="F113" s="533">
        <f t="shared" si="5"/>
        <v>0</v>
      </c>
    </row>
    <row r="114" spans="1:6" ht="12" customHeight="1">
      <c r="A114" s="65">
        <v>14</v>
      </c>
      <c r="B114" s="66"/>
      <c r="C114" s="531"/>
      <c r="D114" s="582"/>
      <c r="E114" s="531"/>
      <c r="F114" s="533">
        <f t="shared" si="5"/>
        <v>0</v>
      </c>
    </row>
    <row r="115" spans="1:6" ht="12.75">
      <c r="A115" s="65">
        <v>15</v>
      </c>
      <c r="B115" s="66"/>
      <c r="C115" s="531"/>
      <c r="D115" s="582"/>
      <c r="E115" s="531"/>
      <c r="F115" s="533">
        <f t="shared" si="5"/>
        <v>0</v>
      </c>
    </row>
    <row r="116" spans="1:16" ht="11.25" customHeight="1">
      <c r="A116" s="67" t="s">
        <v>575</v>
      </c>
      <c r="B116" s="68" t="s">
        <v>832</v>
      </c>
      <c r="C116" s="519">
        <f>SUM(C101:C115)</f>
        <v>0</v>
      </c>
      <c r="D116" s="581"/>
      <c r="E116" s="519">
        <f>SUM(E101:E115)</f>
        <v>0</v>
      </c>
      <c r="F116" s="532">
        <f>SUM(F101:F115)</f>
        <v>0</v>
      </c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</row>
    <row r="117" spans="1:6" ht="15" customHeight="1">
      <c r="A117" s="65" t="s">
        <v>823</v>
      </c>
      <c r="B117" s="69"/>
      <c r="C117" s="519"/>
      <c r="D117" s="581"/>
      <c r="E117" s="519"/>
      <c r="F117" s="532"/>
    </row>
    <row r="118" spans="1:6" ht="12.75">
      <c r="A118" s="65">
        <v>1</v>
      </c>
      <c r="B118" s="69"/>
      <c r="C118" s="531"/>
      <c r="D118" s="582"/>
      <c r="E118" s="531"/>
      <c r="F118" s="533">
        <f>C118-E118</f>
        <v>0</v>
      </c>
    </row>
    <row r="119" spans="1:6" ht="12.75">
      <c r="A119" s="65" t="s">
        <v>540</v>
      </c>
      <c r="B119" s="69"/>
      <c r="C119" s="531"/>
      <c r="D119" s="582"/>
      <c r="E119" s="531"/>
      <c r="F119" s="533">
        <f aca="true" t="shared" si="6" ref="F119:F132">C119-E119</f>
        <v>0</v>
      </c>
    </row>
    <row r="120" spans="1:6" ht="12.75">
      <c r="A120" s="65" t="s">
        <v>543</v>
      </c>
      <c r="B120" s="69"/>
      <c r="C120" s="531"/>
      <c r="D120" s="582"/>
      <c r="E120" s="531"/>
      <c r="F120" s="533">
        <f t="shared" si="6"/>
        <v>0</v>
      </c>
    </row>
    <row r="121" spans="1:6" ht="12.75">
      <c r="A121" s="65" t="s">
        <v>546</v>
      </c>
      <c r="B121" s="69"/>
      <c r="C121" s="531"/>
      <c r="D121" s="582"/>
      <c r="E121" s="531"/>
      <c r="F121" s="533">
        <f t="shared" si="6"/>
        <v>0</v>
      </c>
    </row>
    <row r="122" spans="1:6" ht="12.75">
      <c r="A122" s="65">
        <v>5</v>
      </c>
      <c r="B122" s="66"/>
      <c r="C122" s="531"/>
      <c r="D122" s="582"/>
      <c r="E122" s="531"/>
      <c r="F122" s="533">
        <f t="shared" si="6"/>
        <v>0</v>
      </c>
    </row>
    <row r="123" spans="1:6" ht="12.75">
      <c r="A123" s="65">
        <v>6</v>
      </c>
      <c r="B123" s="66"/>
      <c r="C123" s="531"/>
      <c r="D123" s="582"/>
      <c r="E123" s="531"/>
      <c r="F123" s="533">
        <f t="shared" si="6"/>
        <v>0</v>
      </c>
    </row>
    <row r="124" spans="1:6" ht="12.75">
      <c r="A124" s="65">
        <v>7</v>
      </c>
      <c r="B124" s="66"/>
      <c r="C124" s="531"/>
      <c r="D124" s="582"/>
      <c r="E124" s="531"/>
      <c r="F124" s="533">
        <f t="shared" si="6"/>
        <v>0</v>
      </c>
    </row>
    <row r="125" spans="1:6" ht="12.75">
      <c r="A125" s="65">
        <v>8</v>
      </c>
      <c r="B125" s="66"/>
      <c r="C125" s="531"/>
      <c r="D125" s="582"/>
      <c r="E125" s="531"/>
      <c r="F125" s="533">
        <f t="shared" si="6"/>
        <v>0</v>
      </c>
    </row>
    <row r="126" spans="1:6" ht="12" customHeight="1">
      <c r="A126" s="65">
        <v>9</v>
      </c>
      <c r="B126" s="66"/>
      <c r="C126" s="531"/>
      <c r="D126" s="582"/>
      <c r="E126" s="531"/>
      <c r="F126" s="533">
        <f t="shared" si="6"/>
        <v>0</v>
      </c>
    </row>
    <row r="127" spans="1:6" ht="12.75">
      <c r="A127" s="65">
        <v>10</v>
      </c>
      <c r="B127" s="66"/>
      <c r="C127" s="531"/>
      <c r="D127" s="582"/>
      <c r="E127" s="531"/>
      <c r="F127" s="533">
        <f t="shared" si="6"/>
        <v>0</v>
      </c>
    </row>
    <row r="128" spans="1:6" ht="12.75">
      <c r="A128" s="65">
        <v>11</v>
      </c>
      <c r="B128" s="66"/>
      <c r="C128" s="531"/>
      <c r="D128" s="582"/>
      <c r="E128" s="531"/>
      <c r="F128" s="533">
        <f t="shared" si="6"/>
        <v>0</v>
      </c>
    </row>
    <row r="129" spans="1:6" ht="12.75">
      <c r="A129" s="65">
        <v>12</v>
      </c>
      <c r="B129" s="66"/>
      <c r="C129" s="531"/>
      <c r="D129" s="582"/>
      <c r="E129" s="531"/>
      <c r="F129" s="533">
        <f t="shared" si="6"/>
        <v>0</v>
      </c>
    </row>
    <row r="130" spans="1:6" ht="12.75">
      <c r="A130" s="65">
        <v>13</v>
      </c>
      <c r="B130" s="66"/>
      <c r="C130" s="531"/>
      <c r="D130" s="582"/>
      <c r="E130" s="531"/>
      <c r="F130" s="533">
        <f t="shared" si="6"/>
        <v>0</v>
      </c>
    </row>
    <row r="131" spans="1:6" ht="12" customHeight="1">
      <c r="A131" s="65">
        <v>14</v>
      </c>
      <c r="B131" s="66"/>
      <c r="C131" s="531"/>
      <c r="D131" s="582"/>
      <c r="E131" s="531"/>
      <c r="F131" s="533">
        <f t="shared" si="6"/>
        <v>0</v>
      </c>
    </row>
    <row r="132" spans="1:6" ht="12.75">
      <c r="A132" s="65">
        <v>15</v>
      </c>
      <c r="B132" s="66"/>
      <c r="C132" s="531"/>
      <c r="D132" s="582"/>
      <c r="E132" s="531"/>
      <c r="F132" s="533">
        <f t="shared" si="6"/>
        <v>0</v>
      </c>
    </row>
    <row r="133" spans="1:16" ht="15.75" customHeight="1">
      <c r="A133" s="67" t="s">
        <v>594</v>
      </c>
      <c r="B133" s="68" t="s">
        <v>833</v>
      </c>
      <c r="C133" s="519">
        <f>SUM(C118:C132)</f>
        <v>0</v>
      </c>
      <c r="D133" s="581"/>
      <c r="E133" s="519">
        <f>SUM(E118:E132)</f>
        <v>0</v>
      </c>
      <c r="F133" s="532">
        <f>SUM(F118:F132)</f>
        <v>0</v>
      </c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</row>
    <row r="134" spans="1:6" ht="12.75" customHeight="1">
      <c r="A134" s="65" t="s">
        <v>825</v>
      </c>
      <c r="B134" s="69"/>
      <c r="C134" s="519"/>
      <c r="D134" s="581"/>
      <c r="E134" s="519"/>
      <c r="F134" s="532"/>
    </row>
    <row r="135" spans="1:6" ht="12.75">
      <c r="A135" s="65" t="s">
        <v>858</v>
      </c>
      <c r="B135" s="69"/>
      <c r="C135" s="531">
        <v>703</v>
      </c>
      <c r="D135" s="582">
        <v>0.0077</v>
      </c>
      <c r="E135" s="531">
        <f>+C135</f>
        <v>703</v>
      </c>
      <c r="F135" s="533">
        <f>C135-E135</f>
        <v>0</v>
      </c>
    </row>
    <row r="136" spans="1:6" ht="12.75">
      <c r="A136" s="65" t="s">
        <v>859</v>
      </c>
      <c r="B136" s="69"/>
      <c r="C136" s="531">
        <v>2038</v>
      </c>
      <c r="D136" s="582">
        <v>0.0907</v>
      </c>
      <c r="E136" s="531"/>
      <c r="F136" s="533">
        <f aca="true" t="shared" si="7" ref="F136:F149">C136-E136</f>
        <v>2038</v>
      </c>
    </row>
    <row r="137" spans="1:6" ht="12.75">
      <c r="A137" s="65" t="s">
        <v>860</v>
      </c>
      <c r="B137" s="69"/>
      <c r="C137" s="531">
        <v>4</v>
      </c>
      <c r="D137" s="583">
        <v>2E-05</v>
      </c>
      <c r="E137" s="531"/>
      <c r="F137" s="533">
        <f t="shared" si="7"/>
        <v>4</v>
      </c>
    </row>
    <row r="138" spans="1:6" ht="12.75">
      <c r="A138" s="65" t="s">
        <v>861</v>
      </c>
      <c r="B138" s="69"/>
      <c r="C138" s="531">
        <v>3</v>
      </c>
      <c r="D138" s="583">
        <v>0.00019</v>
      </c>
      <c r="E138" s="531"/>
      <c r="F138" s="533">
        <f t="shared" si="7"/>
        <v>3</v>
      </c>
    </row>
    <row r="139" spans="1:6" ht="12.75">
      <c r="A139" s="65" t="s">
        <v>862</v>
      </c>
      <c r="B139" s="66"/>
      <c r="C139" s="531">
        <v>2</v>
      </c>
      <c r="D139" s="582">
        <v>0.0001</v>
      </c>
      <c r="E139" s="531"/>
      <c r="F139" s="533">
        <f t="shared" si="7"/>
        <v>2</v>
      </c>
    </row>
    <row r="140" spans="1:6" ht="12.75">
      <c r="A140" s="65" t="s">
        <v>863</v>
      </c>
      <c r="B140" s="66"/>
      <c r="C140" s="531">
        <v>1</v>
      </c>
      <c r="D140" s="583">
        <v>8E-05</v>
      </c>
      <c r="E140" s="531"/>
      <c r="F140" s="533">
        <f t="shared" si="7"/>
        <v>1</v>
      </c>
    </row>
    <row r="141" spans="1:6" ht="12.75">
      <c r="A141" s="65" t="s">
        <v>864</v>
      </c>
      <c r="B141" s="66"/>
      <c r="C141" s="531">
        <v>1</v>
      </c>
      <c r="D141" s="583">
        <v>0.00012</v>
      </c>
      <c r="E141" s="531"/>
      <c r="F141" s="533">
        <f t="shared" si="7"/>
        <v>1</v>
      </c>
    </row>
    <row r="142" spans="1:6" ht="12.75">
      <c r="A142" s="65" t="s">
        <v>896</v>
      </c>
      <c r="B142" s="66"/>
      <c r="C142" s="531">
        <v>142</v>
      </c>
      <c r="D142" s="582">
        <v>0.18</v>
      </c>
      <c r="E142" s="531"/>
      <c r="F142" s="533">
        <f t="shared" si="7"/>
        <v>142</v>
      </c>
    </row>
    <row r="143" spans="1:6" ht="12" customHeight="1">
      <c r="A143" s="65">
        <v>9</v>
      </c>
      <c r="B143" s="66"/>
      <c r="C143" s="531"/>
      <c r="D143" s="582"/>
      <c r="E143" s="531"/>
      <c r="F143" s="533">
        <f t="shared" si="7"/>
        <v>0</v>
      </c>
    </row>
    <row r="144" spans="1:6" ht="12.75">
      <c r="A144" s="65">
        <v>10</v>
      </c>
      <c r="B144" s="66"/>
      <c r="C144" s="531"/>
      <c r="D144" s="582"/>
      <c r="E144" s="531"/>
      <c r="F144" s="533">
        <f t="shared" si="7"/>
        <v>0</v>
      </c>
    </row>
    <row r="145" spans="1:6" ht="12.75">
      <c r="A145" s="65">
        <v>11</v>
      </c>
      <c r="B145" s="66"/>
      <c r="C145" s="531"/>
      <c r="D145" s="582"/>
      <c r="E145" s="531"/>
      <c r="F145" s="533">
        <f t="shared" si="7"/>
        <v>0</v>
      </c>
    </row>
    <row r="146" spans="1:6" ht="12.75">
      <c r="A146" s="65">
        <v>12</v>
      </c>
      <c r="B146" s="66"/>
      <c r="C146" s="531"/>
      <c r="D146" s="582"/>
      <c r="E146" s="531"/>
      <c r="F146" s="533">
        <f t="shared" si="7"/>
        <v>0</v>
      </c>
    </row>
    <row r="147" spans="1:6" ht="12.75">
      <c r="A147" s="65">
        <v>13</v>
      </c>
      <c r="B147" s="66"/>
      <c r="C147" s="531"/>
      <c r="D147" s="582"/>
      <c r="E147" s="531"/>
      <c r="F147" s="533">
        <f t="shared" si="7"/>
        <v>0</v>
      </c>
    </row>
    <row r="148" spans="1:6" ht="12" customHeight="1">
      <c r="A148" s="65">
        <v>14</v>
      </c>
      <c r="B148" s="66"/>
      <c r="C148" s="531"/>
      <c r="D148" s="582"/>
      <c r="E148" s="531"/>
      <c r="F148" s="533">
        <f t="shared" si="7"/>
        <v>0</v>
      </c>
    </row>
    <row r="149" spans="1:6" ht="12.75">
      <c r="A149" s="65">
        <v>15</v>
      </c>
      <c r="B149" s="66"/>
      <c r="C149" s="531"/>
      <c r="D149" s="582"/>
      <c r="E149" s="531"/>
      <c r="F149" s="533">
        <f t="shared" si="7"/>
        <v>0</v>
      </c>
    </row>
    <row r="150" spans="1:16" ht="17.25" customHeight="1">
      <c r="A150" s="67" t="s">
        <v>826</v>
      </c>
      <c r="B150" s="68" t="s">
        <v>834</v>
      </c>
      <c r="C150" s="519">
        <f>SUM(C135:C149)</f>
        <v>2894</v>
      </c>
      <c r="D150" s="519"/>
      <c r="E150" s="519">
        <f>SUM(E135:E149)</f>
        <v>703</v>
      </c>
      <c r="F150" s="532">
        <f>SUM(F135:F149)</f>
        <v>2191</v>
      </c>
      <c r="G150" s="509"/>
      <c r="H150" s="509"/>
      <c r="I150" s="509"/>
      <c r="J150" s="509"/>
      <c r="K150" s="509"/>
      <c r="L150" s="509"/>
      <c r="M150" s="509"/>
      <c r="N150" s="509"/>
      <c r="O150" s="509"/>
      <c r="P150" s="509"/>
    </row>
    <row r="151" spans="1:16" ht="19.5" customHeight="1">
      <c r="A151" s="70" t="s">
        <v>835</v>
      </c>
      <c r="B151" s="68" t="s">
        <v>836</v>
      </c>
      <c r="C151" s="519">
        <f>C150+C133+C116+C99</f>
        <v>2894</v>
      </c>
      <c r="D151" s="519"/>
      <c r="E151" s="519">
        <f>E150+E133+E116+E99</f>
        <v>703</v>
      </c>
      <c r="F151" s="532">
        <f>F150+F133+F116+F99</f>
        <v>2191</v>
      </c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</row>
    <row r="152" spans="1:6" ht="19.5" customHeight="1">
      <c r="A152" s="71"/>
      <c r="B152" s="72"/>
      <c r="C152" s="73"/>
      <c r="D152" s="73"/>
      <c r="E152" s="73"/>
      <c r="F152" s="73"/>
    </row>
    <row r="153" spans="1:6" ht="12.75">
      <c r="A153" s="541" t="s">
        <v>892</v>
      </c>
      <c r="B153" s="542"/>
      <c r="C153" s="627" t="s">
        <v>850</v>
      </c>
      <c r="D153" s="627"/>
      <c r="E153" s="627"/>
      <c r="F153" s="627"/>
    </row>
    <row r="154" spans="1:6" ht="12.75">
      <c r="A154" s="74"/>
      <c r="B154" s="75"/>
      <c r="C154" s="74"/>
      <c r="D154" s="74"/>
      <c r="E154" s="74"/>
      <c r="F154" s="74"/>
    </row>
    <row r="155" spans="1:6" ht="12.75">
      <c r="A155" s="74"/>
      <c r="B155" s="75"/>
      <c r="C155" s="627" t="s">
        <v>851</v>
      </c>
      <c r="D155" s="627"/>
      <c r="E155" s="627"/>
      <c r="F155" s="627"/>
    </row>
    <row r="156" spans="3:5" ht="12.75">
      <c r="C156" s="74"/>
      <c r="E156" s="74"/>
    </row>
  </sheetData>
  <sheetProtection/>
  <mergeCells count="5">
    <mergeCell ref="C155:F155"/>
    <mergeCell ref="C153:F153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:F149 C84:F98 C101:F115 C118:F132 C12:F26 C29:F43 C46:F60 C63:F7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Ivanka Panova</cp:lastModifiedBy>
  <cp:lastPrinted>2012-05-28T12:47:27Z</cp:lastPrinted>
  <dcterms:created xsi:type="dcterms:W3CDTF">2000-06-29T12:02:40Z</dcterms:created>
  <dcterms:modified xsi:type="dcterms:W3CDTF">2012-05-29T07:45:01Z</dcterms:modified>
  <cp:category/>
  <cp:version/>
  <cp:contentType/>
  <cp:contentStatus/>
</cp:coreProperties>
</file>