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<sst xmlns="http://schemas.openxmlformats.org/spreadsheetml/2006/main" count="1071" uniqueCount="903">
  <si>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</si>
  <si>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</si>
  <si>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</si>
  <si>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</si>
  <si>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</si>
  <si>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</si>
  <si>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</si>
  <si>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</si>
  <si>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</si>
  <si>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</si>
  <si>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</si>
  <si>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</si>
  <si>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</si>
  <si>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</si>
  <si>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</si>
  <si>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</si>
  <si>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</si>
  <si>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</si>
  <si>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</si>
  <si>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</si>
  <si>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</si>
  <si>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</si>
  <si>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</si>
  <si>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</si>
  <si>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</si>
  <si>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</si>
  <si>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</si>
  <si>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</si>
  <si>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</si>
  <si>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</si>
  <si>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</si>
  <si>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</si>
  <si>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</si>
  <si>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</si>
  <si>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</si>
  <si>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</si>
  <si>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</si>
  <si>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</si>
  <si>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</si>
  <si>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</si>
  <si>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</si>
  <si>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</si>
  <si>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</si>
  <si>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</si>
  <si>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</si>
  <si>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</si>
  <si>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</si>
  <si>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</si>
  <si>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</si>
  <si>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</si>
  <si>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</si>
  <si>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</si>
  <si>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</si>
  <si>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</si>
  <si>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</si>
  <si>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</si>
  <si>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</si>
  <si>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</si>
  <si>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</si>
  <si>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</si>
  <si>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</si>
  <si>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</si>
  <si>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</si>
  <si>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</si>
  <si>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</si>
  <si>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</si>
  <si>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</si>
  <si>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</si>
  <si>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</si>
  <si>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</si>
  <si>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</si>
  <si>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</si>
  <si>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</si>
  <si>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</si>
  <si>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</si>
  <si>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</si>
  <si>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</si>
  <si>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</si>
  <si>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</si>
  <si>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</si>
  <si>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</si>
  <si>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</si>
  <si>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</si>
  <si>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</si>
  <si>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</si>
  <si>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</si>
  <si>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</si>
  <si>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</si>
  <si>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</si>
  <si>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</si>
  <si>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</si>
  <si>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</si>
  <si>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</si>
  <si>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</si>
  <si>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</si>
  <si>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</si>
  <si>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</si>
  <si>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</si>
  <si>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</si>
  <si>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</si>
  <si>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</si>
  <si>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</si>
  <si>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</si>
  <si>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</si>
  <si>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</si>
  <si>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</si>
  <si>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</si>
  <si>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</si>
  <si>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</si>
  <si>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</si>
  <si>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</si>
  <si>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</si>
  <si>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</si>
  <si>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</si>
  <si>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</si>
  <si>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</si>
  <si>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</si>
  <si>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</si>
  <si>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</si>
  <si>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</si>
  <si>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</si>
  <si>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</si>
  <si>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</si>
  <si>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</si>
  <si>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</si>
  <si>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</si>
  <si>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</si>
  <si>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</si>
  <si>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</si>
  <si>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</si>
  <si>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</si>
  <si>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</si>
  <si>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</si>
  <si>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</si>
  <si>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</si>
  <si>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</si>
  <si>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</si>
  <si>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</si>
  <si>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</si>
  <si>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</si>
  <si>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</si>
  <si>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</si>
  <si>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</si>
  <si>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</si>
  <si>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</si>
  <si>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</si>
  <si>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</si>
  <si>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</si>
  <si>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</si>
  <si>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</si>
  <si>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</si>
  <si>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</si>
  <si>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</si>
  <si>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</si>
  <si>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</si>
  <si>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</si>
  <si>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</si>
  <si>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</si>
  <si>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</si>
  <si>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</si>
  <si>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</si>
  <si>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</si>
  <si>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</si>
  <si>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</si>
  <si>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</si>
  <si>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</si>
  <si>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</si>
  <si>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</si>
  <si>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</si>
  <si>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</si>
  <si>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</si>
  <si>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</si>
  <si>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</si>
  <si>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</si>
  <si>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</si>
  <si>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</si>
  <si>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</si>
  <si>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</si>
  <si>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</si>
  <si>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</si>
  <si>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</si>
  <si>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</si>
  <si>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</si>
  <si>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</si>
  <si>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</si>
  <si>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</si>
  <si>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</si>
  <si>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</si>
  <si>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</si>
  <si>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</si>
  <si>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</si>
  <si>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</si>
  <si>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</si>
  <si>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</si>
  <si>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</si>
  <si>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</si>
  <si>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</si>
  <si>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</si>
  <si>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</si>
  <si>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</si>
  <si>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</si>
  <si>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</si>
  <si>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</si>
  <si>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</si>
  <si>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</si>
  <si>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</si>
  <si>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</si>
  <si>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</si>
  <si>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</si>
  <si>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</si>
  <si>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</si>
  <si>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</si>
  <si>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</si>
  <si>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</si>
  <si>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</si>
  <si>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</si>
  <si>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</si>
  <si>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</si>
  <si>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</si>
  <si>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</si>
  <si>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</si>
  <si>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</si>
  <si>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</si>
  <si>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</si>
  <si>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</si>
  <si>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</si>
  <si>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</si>
  <si>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</si>
  <si>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</si>
  <si>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</si>
  <si>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</si>
  <si>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</si>
  <si>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</si>
  <si>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</si>
  <si>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</si>
  <si>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</si>
  <si>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</si>
  <si>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</si>
  <si>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</si>
  <si>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</si>
  <si>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</si>
  <si>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</si>
  <si>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</si>
  <si>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</si>
  <si>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</si>
  <si>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</si>
  <si>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</si>
  <si>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</si>
  <si>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</si>
  <si>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</si>
  <si>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</si>
  <si>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</si>
  <si>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</si>
  <si>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</si>
  <si>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</si>
  <si>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</si>
  <si>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</si>
  <si>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</si>
  <si>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</si>
  <si>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</si>
  <si>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</si>
  <si>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</si>
  <si>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</si>
  <si>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</si>
  <si>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</si>
  <si>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</si>
  <si>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</si>
  <si>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</si>
  <si>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</si>
  <si>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</si>
  <si>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</si>
  <si>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</si>
  <si>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</si>
  <si>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</si>
  <si>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</si>
  <si>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</si>
  <si>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</si>
  <si>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</si>
  <si>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</si>
  <si>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</si>
  <si>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</si>
  <si>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</si>
  <si>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</si>
  <si>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</si>
  <si>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</si>
  <si>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</si>
  <si>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</si>
  <si>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</si>
  <si>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</si>
  <si>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</si>
  <si>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</si>
  <si>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</si>
  <si>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</si>
  <si>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</si>
  <si>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</si>
  <si>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</si>
  <si>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</si>
  <si>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</si>
  <si>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</si>
  <si>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</si>
  <si>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</si>
  <si>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</si>
  <si>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</si>
  <si>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</si>
  <si>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</si>
  <si>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</si>
  <si>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</si>
  <si>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</si>
  <si>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</si>
  <si>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</si>
  <si>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</si>
  <si>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</si>
  <si>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</si>
  <si>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</si>
  <si>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</si>
  <si>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</si>
  <si>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</si>
  <si>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</si>
  <si>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</si>
  <si>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</si>
  <si>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</si>
  <si>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</si>
  <si>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</si>
  <si>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</si>
  <si>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</si>
  <si>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</si>
  <si>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</si>
  <si>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</si>
  <si>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</si>
  <si>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</si>
  <si>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</si>
  <si>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</si>
  <si>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</si>
  <si>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</si>
  <si>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</si>
  <si>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</si>
  <si>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</si>
  <si>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</si>
  <si>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</si>
  <si>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</si>
  <si>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</si>
  <si>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</si>
  <si>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</si>
  <si>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</si>
  <si>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</si>
  <si>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</si>
  <si>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</si>
  <si>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</si>
  <si>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</si>
  <si>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</si>
  <si>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</si>
  <si>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</si>
  <si>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</si>
  <si>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</si>
  <si>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</si>
  <si>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</si>
  <si>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</si>
  <si>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</si>
  <si>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</si>
  <si>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</si>
  <si>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</si>
  <si>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</si>
  <si>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</si>
  <si>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</si>
  <si>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</si>
  <si>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</si>
  <si>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</si>
  <si>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</si>
  <si>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</si>
  <si>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</si>
  <si>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</si>
  <si>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</si>
  <si>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</si>
  <si>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</si>
  <si>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</si>
  <si>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</si>
  <si>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</si>
  <si>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</si>
  <si>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</si>
  <si>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</si>
  <si>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</si>
  <si>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</si>
  <si>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</si>
  <si>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</si>
  <si>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</si>
  <si>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</si>
  <si>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</si>
  <si>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</si>
  <si>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</si>
  <si>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</si>
  <si>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</si>
  <si>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</si>
  <si>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</si>
  <si>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</si>
  <si>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</si>
  <si>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</si>
  <si>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</si>
  <si>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</si>
  <si>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</si>
  <si>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</si>
  <si>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</si>
  <si>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</si>
  <si>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</si>
  <si>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</si>
  <si>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</si>
  <si>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</si>
  <si>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</si>
  <si>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</si>
  <si>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</si>
  <si>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</si>
  <si>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</si>
  <si>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</si>
  <si>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</si>
  <si>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</si>
  <si>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</si>
  <si>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</si>
  <si>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</si>
  <si>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</si>
  <si>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</si>
  <si>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</si>
  <si>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</si>
  <si>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</si>
  <si>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</si>
  <si>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</si>
  <si>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</si>
  <si>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</si>
  <si>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</si>
  <si>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</si>
  <si>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</si>
  <si>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</si>
  <si>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</si>
  <si>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</si>
  <si>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</si>
  <si>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</si>
  <si>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</si>
  <si>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</si>
  <si>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</si>
  <si>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</si>
  <si>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</si>
  <si>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</si>
  <si>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</si>
  <si>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</si>
  <si>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</si>
  <si>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</si>
  <si>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</si>
  <si>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</si>
  <si>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</si>
  <si>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</si>
  <si>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</si>
  <si>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</si>
  <si>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</si>
  <si>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</si>
  <si>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</si>
  <si>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</si>
  <si>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</si>
  <si>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</si>
  <si>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</si>
  <si>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</si>
  <si>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</si>
  <si>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</si>
  <si>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</si>
  <si>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</si>
  <si>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</si>
  <si>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</si>
  <si>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</si>
  <si>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</si>
  <si>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</si>
  <si>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</si>
  <si>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</si>
  <si>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</si>
  <si>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</si>
  <si>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</si>
  <si>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</si>
  <si>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</si>
  <si>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</si>
  <si>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</si>
  <si>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</si>
  <si>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</si>
  <si>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</si>
  <si>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</si>
  <si>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</si>
  <si>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</si>
  <si>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</si>
  <si>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</si>
  <si>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</si>
  <si>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</si>
  <si>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</si>
  <si>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</si>
  <si>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</si>
  <si>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</si>
  <si>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</si>
  <si>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</si>
  <si>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</si>
  <si>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</si>
  <si>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</si>
  <si>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</si>
  <si>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</si>
  <si>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</si>
  <si>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</si>
  <si>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</si>
  <si>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</si>
  <si>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</si>
  <si>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</si>
  <si>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</si>
  <si>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</si>
  <si>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</si>
  <si>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</si>
  <si>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</si>
  <si>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</si>
  <si>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</si>
  <si>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</si>
  <si>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</si>
  <si>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</si>
  <si>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</si>
  <si>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</si>
  <si>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</si>
  <si>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</si>
  <si>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</si>
  <si>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</si>
  <si>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</si>
  <si>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</si>
  <si>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</si>
  <si>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</si>
  <si>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</si>
  <si>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</si>
  <si>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</si>
  <si>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</si>
  <si>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</si>
  <si>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</si>
  <si>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</si>
  <si>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</si>
  <si>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</si>
  <si>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</si>
  <si>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</si>
  <si>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</si>
  <si>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</si>
  <si>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</si>
  <si>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</si>
  <si>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</si>
  <si>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</si>
  <si>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</si>
  <si>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</si>
  <si>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</si>
  <si>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</si>
  <si>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</si>
  <si>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</si>
  <si>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</si>
  <si>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</si>
  <si>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</si>
  <si>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</si>
  <si>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</si>
  <si>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</si>
  <si>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</si>
  <si>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</si>
  <si>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</si>
  <si>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</si>
  <si>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</si>
  <si>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</si>
  <si>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</si>
  <si>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</si>
  <si>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</si>
  <si>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</si>
  <si>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</si>
  <si>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</si>
  <si>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</si>
  <si>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</si>
  <si>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</si>
  <si>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</si>
  <si>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</si>
  <si>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</si>
  <si>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</si>
  <si>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</si>
  <si>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</si>
  <si>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</si>
  <si>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</si>
  <si>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</si>
  <si>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</si>
  <si>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</si>
  <si>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</si>
  <si>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</si>
  <si>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</si>
  <si>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</si>
  <si>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</si>
  <si>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</si>
  <si>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</si>
  <si>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</si>
  <si>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</si>
  <si>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</si>
  <si>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</si>
  <si>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</si>
  <si>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</si>
  <si>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</si>
  <si>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</si>
  <si>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</si>
  <si>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</si>
  <si>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</si>
  <si>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</si>
  <si>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</si>
  <si>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</si>
  <si>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</si>
  <si>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</si>
  <si>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</si>
  <si>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</si>
  <si>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</si>
  <si>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</si>
  <si>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</si>
  <si>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</si>
  <si>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</si>
  <si>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</si>
  <si>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</si>
  <si>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</si>
  <si>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</si>
  <si>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</si>
  <si>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</si>
  <si>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</si>
  <si>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</si>
  <si>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</si>
  <si>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</si>
  <si>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</si>
  <si>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</si>
  <si>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</si>
  <si>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</si>
  <si>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</si>
  <si>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</si>
  <si>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</si>
  <si>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</si>
  <si>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</si>
  <si>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</si>
  <si>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</si>
  <si>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</si>
  <si>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</si>
  <si>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</si>
  <si>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</si>
  <si>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</si>
  <si>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</si>
  <si>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</si>
  <si>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</si>
  <si>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</si>
  <si>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</si>
  <si>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</si>
  <si>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</si>
  <si>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</si>
  <si>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</si>
  <si>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</si>
  <si>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</si>
  <si>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</si>
  <si>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</si>
  <si>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</si>
  <si>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</si>
  <si>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</si>
  <si>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</si>
  <si>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</si>
  <si>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</si>
  <si>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</si>
  <si>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</si>
  <si>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</si>
  <si>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</si>
  <si>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</si>
  <si>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</si>
  <si>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</si>
  <si>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</si>
  <si>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</si>
  <si>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</si>
  <si>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</si>
  <si>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</si>
  <si>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</si>
  <si>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</si>
  <si>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</si>
  <si>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</si>
  <si>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</si>
  <si>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</si>
  <si>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</si>
  <si>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</si>
  <si>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</si>
  <si>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</si>
  <si>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</si>
  <si>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</si>
  <si>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</si>
  <si>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</si>
  <si>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</si>
  <si>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</si>
  <si>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</si>
  <si>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</si>
  <si>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</si>
  <si>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</si>
  <si>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</si>
  <si>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</si>
  <si>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</si>
  <si>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</si>
  <si>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</si>
  <si>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</si>
  <si>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</si>
  <si>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</si>
  <si>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</si>
  <si>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</si>
  <si>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</si>
  <si>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</si>
  <si>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</si>
  <si>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</si>
  <si>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</si>
  <si>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</si>
  <si>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</si>
  <si>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</si>
  <si>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</si>
  <si>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</si>
  <si>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</si>
  <si>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</si>
  <si>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</si>
  <si>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</si>
  <si>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</si>
  <si>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</si>
  <si>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</si>
  <si>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</si>
  <si>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</si>
  <si>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</si>
  <si>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</si>
  <si>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</si>
  <si>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</si>
  <si>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</si>
  <si>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</si>
  <si>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</si>
  <si>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</si>
  <si>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</si>
  <si>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</si>
  <si>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</si>
  <si>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</si>
  <si>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</si>
  <si>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</si>
  <si>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</si>
  <si>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</si>
  <si>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</si>
  <si>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</si>
  <si>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</si>
  <si>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</si>
  <si>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</si>
  <si>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</si>
  <si>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</si>
  <si>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</si>
  <si>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</si>
  <si>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</si>
  <si>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</si>
  <si>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</si>
  <si>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</si>
  <si>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</si>
  <si>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</si>
  <si>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</si>
  <si>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</si>
  <si>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</si>
  <si>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</si>
  <si>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</si>
  <si>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</si>
  <si>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</si>
  <si>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</si>
  <si>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</si>
  <si>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</si>
  <si>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</si>
  <si>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</si>
  <si>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</si>
  <si>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</si>
  <si>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</si>
  <si>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</si>
  <si>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</si>
  <si>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</si>
  <si>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</si>
  <si>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</si>
  <si>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</si>
  <si>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</si>
  <si>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</si>
  <si>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</si>
  <si>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</si>
  <si>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</si>
  <si>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</si>
  <si>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</si>
  <si>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</si>
  <si>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</si>
  <si>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</si>
  <si>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</si>
  <si>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</si>
  <si>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</si>
  <si>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</si>
  <si>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</si>
  <si>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</si>
  <si>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</si>
  <si>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</si>
  <si>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</si>
  <si>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</si>
  <si>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</si>
  <si>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</si>
  <si>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</si>
  <si>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</si>
  <si>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</si>
  <si>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</si>
  <si>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</si>
  <si>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</si>
  <si>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</si>
  <si>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</si>
  <si>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</si>
  <si>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</si>
  <si>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</si>
  <si>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</si>
  <si>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</si>
  <si>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</si>
  <si>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</si>
  <si>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</si>
  <si>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</si>
  <si>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</si>
  <si>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</si>
  <si>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</si>
  <si>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</si>
  <si>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</si>
  <si>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</si>
  <si>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</si>
  <si>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</si>
  <si>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</si>
  <si>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</si>
  <si>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</si>
  <si>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</si>
  <si>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</si>
  <si>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</si>
  <si>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</si>
  <si>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</si>
  <si>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</si>
  <si>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</si>
  <si>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</si>
  <si>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</si>
  <si>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</si>
  <si>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</si>
  <si>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</si>
  <si>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</si>
  <si>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</si>
  <si>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</si>
  <si>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</si>
  <si>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</si>
  <si>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</si>
  <si>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</si>
  <si>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</si>
  <si>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</si>
  <si>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</si>
  <si>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</si>
  <si>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</si>
  <si>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</si>
  <si>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</si>
  <si>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</si>
  <si>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</si>
  <si>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</si>
  <si>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</si>
  <si>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</si>
  <si>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</si>
  <si>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</si>
  <si>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</si>
  <si>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</si>
  <si>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</si>
  <si>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</si>
  <si>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</si>
  <si>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</si>
  <si>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</si>
  <si>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</si>
  <si>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</si>
  <si>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</si>
  <si>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>2.КРИМГАЗ ОАО</t>
  </si>
  <si>
    <t>3.АИК БАНК АД</t>
  </si>
  <si>
    <t>4.ПРИВРЕДНА БАНКА АД</t>
  </si>
  <si>
    <t>5.АГРОБАНКА АД</t>
  </si>
  <si>
    <t>6.МЕТАЛСБАНКА АД</t>
  </si>
  <si>
    <t>7.ДУНАВ ОСИГУРЯВАНЕ АД</t>
  </si>
  <si>
    <t xml:space="preserve"> МЕТОД</t>
  </si>
  <si>
    <t xml:space="preserve">Име на  предприятието:  СОФАРМА АД </t>
  </si>
  <si>
    <t>2.МЕДИКА АД</t>
  </si>
  <si>
    <t>3.ЕКОБУЛПАК АД</t>
  </si>
  <si>
    <t>4.МАРИЦАТЕКС АД</t>
  </si>
  <si>
    <t>5.УНИКРЕДИТ БУЛБАНК АД /ЕЙЧ ВИ БИ БАНК/</t>
  </si>
  <si>
    <t>6.ОЗОФ ДОВЕРИЕ АД</t>
  </si>
  <si>
    <t>7.БАЛКАНФАРМА РАЗГРАД</t>
  </si>
  <si>
    <t>8.ХИДРОИЗОМАТ АД</t>
  </si>
  <si>
    <t>9.СОФАРМА ИМОТИ АДСИЦ</t>
  </si>
  <si>
    <t>10.БАЛКАНФАРМА ДУПНИЦА</t>
  </si>
  <si>
    <t>11.ЕЛФАРМА АД</t>
  </si>
  <si>
    <t>13.ДФ СТАТУС НОВИ АКЦИИ</t>
  </si>
  <si>
    <t>Вид на отчета: консолидиран</t>
  </si>
  <si>
    <t>14.АРОМА АД</t>
  </si>
  <si>
    <t>12.БЪЛГАРСКА ФОНДОВА БОРСА</t>
  </si>
  <si>
    <t>15.ЛАВЕНА АД</t>
  </si>
  <si>
    <t xml:space="preserve">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</si>
  <si>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</si>
  <si>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</si>
  <si>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СПРАВКА ЗА НЕТЕКУЩИТЕ АКТИВИ </t>
  </si>
  <si>
    <t>16.ДФ ЕЛАНА ФОНД ПАРИЧЕН ПАЗАР</t>
  </si>
  <si>
    <t>17.ТОДОРОВ АД</t>
  </si>
  <si>
    <t>10.НПК БИОТЕСТ</t>
  </si>
  <si>
    <t xml:space="preserve"> ОТЧЕТ ЗА ДОХОДИТЕ  </t>
  </si>
  <si>
    <t xml:space="preserve">СЧЕТОВОДЕН  БАЛАНС </t>
  </si>
  <si>
    <t xml:space="preserve">ОТЧЕТ ЗА ПАРИЧНИТЕ ПОТОЦИ ПО ПРЕКИЯ </t>
  </si>
  <si>
    <t xml:space="preserve">Дата на съставяне:28.02.2013               </t>
  </si>
  <si>
    <t>Дата на съставяне: 28.02.2013</t>
  </si>
  <si>
    <t>01.01.-31.12.2012</t>
  </si>
  <si>
    <t xml:space="preserve">ПРЕДВАРИТЕЛЕН КОНСОЛИДИРАН </t>
  </si>
  <si>
    <t xml:space="preserve">Дата  на съставяне: 28.02.2013                                                                                                                                </t>
  </si>
  <si>
    <t>Дата на съставяне:28.02.2013</t>
  </si>
  <si>
    <t>1.АЛЕАН ООО</t>
  </si>
  <si>
    <t>2.ВЕСТФАРМ</t>
  </si>
  <si>
    <t>8.БЕЛАГРОМЕД</t>
  </si>
  <si>
    <t>Отчетен период:01.01.2012 - 31.12.2012</t>
  </si>
  <si>
    <t xml:space="preserve">Дата на съставяне:            28.02.2013                         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</si>
</sst>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%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58" applyNumberFormat="1" applyFont="1" applyBorder="1" applyAlignment="1">
      <alignment horizontal="right" vertical="center" wrapText="1"/>
      <protection/>
    </xf>
    <xf numFmtId="10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80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/>
      <protection locked="0"/>
    </xf>
    <xf numFmtId="14" fontId="7" fillId="0" borderId="0" xfId="61" applyNumberFormat="1" applyFont="1" applyBorder="1" applyAlignment="1" applyProtection="1">
      <alignment horizontal="left" vertical="top" wrapText="1"/>
      <protection locked="0"/>
    </xf>
    <xf numFmtId="1" fontId="19" fillId="0" borderId="0" xfId="60" applyNumberFormat="1" applyFont="1">
      <alignment/>
      <protection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2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61">
      <selection activeCell="C87" sqref="C87:C88"/>
    </sheetView>
  </sheetViews>
  <sheetFormatPr defaultColWidth="9.25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890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0</v>
      </c>
      <c r="B3" s="263"/>
      <c r="C3" s="263"/>
      <c r="D3" s="263"/>
      <c r="E3" s="556" t="s">
        <v>847</v>
      </c>
      <c r="F3" s="268" t="s">
        <v>1</v>
      </c>
      <c r="G3" s="221"/>
      <c r="H3" s="576">
        <v>831902088</v>
      </c>
    </row>
    <row r="4" spans="1:8" ht="28.5">
      <c r="A4" s="199" t="s">
        <v>2</v>
      </c>
      <c r="B4" s="564"/>
      <c r="C4" s="564"/>
      <c r="D4" s="565"/>
      <c r="E4" s="557" t="s">
        <v>895</v>
      </c>
      <c r="F4" s="219" t="s">
        <v>3</v>
      </c>
      <c r="G4" s="220"/>
      <c r="H4" s="576">
        <v>684</v>
      </c>
    </row>
    <row r="5" spans="1:8" ht="15">
      <c r="A5" s="199" t="s">
        <v>4</v>
      </c>
      <c r="B5" s="263"/>
      <c r="C5" s="263"/>
      <c r="D5" s="263"/>
      <c r="E5" s="577" t="s">
        <v>894</v>
      </c>
      <c r="F5" s="219"/>
      <c r="G5" s="220"/>
      <c r="H5" s="270" t="s">
        <v>5</v>
      </c>
    </row>
    <row r="6" spans="1:8" ht="15.75" thickBot="1">
      <c r="A6" s="199"/>
      <c r="B6" s="199"/>
      <c r="C6" s="269"/>
      <c r="D6" s="270"/>
      <c r="E6" s="270">
        <v>3</v>
      </c>
      <c r="F6" s="219"/>
      <c r="G6" s="220"/>
      <c r="H6" s="270"/>
    </row>
    <row r="7" spans="1:8" ht="28.5">
      <c r="A7" s="271" t="s">
        <v>6</v>
      </c>
      <c r="B7" s="272" t="s">
        <v>7</v>
      </c>
      <c r="C7" s="273" t="s">
        <v>8</v>
      </c>
      <c r="D7" s="273" t="s">
        <v>9</v>
      </c>
      <c r="E7" s="274" t="s">
        <v>10</v>
      </c>
      <c r="F7" s="272" t="s">
        <v>7</v>
      </c>
      <c r="G7" s="273" t="s">
        <v>11</v>
      </c>
      <c r="H7" s="275" t="s">
        <v>12</v>
      </c>
    </row>
    <row r="8" spans="1:8" ht="14.25">
      <c r="A8" s="276" t="s">
        <v>13</v>
      </c>
      <c r="B8" s="277" t="s">
        <v>14</v>
      </c>
      <c r="C8" s="277">
        <v>1</v>
      </c>
      <c r="D8" s="277">
        <v>2</v>
      </c>
      <c r="E8" s="278" t="s">
        <v>13</v>
      </c>
      <c r="F8" s="277" t="s">
        <v>14</v>
      </c>
      <c r="G8" s="277">
        <v>1</v>
      </c>
      <c r="H8" s="279">
        <v>2</v>
      </c>
    </row>
    <row r="9" spans="1:8" ht="15">
      <c r="A9" s="536" t="s">
        <v>15</v>
      </c>
      <c r="B9" s="280"/>
      <c r="C9" s="281"/>
      <c r="D9" s="282"/>
      <c r="E9" s="534" t="s">
        <v>16</v>
      </c>
      <c r="F9" s="283"/>
      <c r="G9" s="284"/>
      <c r="H9" s="285"/>
    </row>
    <row r="10" spans="1:8" ht="15">
      <c r="A10" s="286" t="s">
        <v>17</v>
      </c>
      <c r="B10" s="287"/>
      <c r="C10" s="281"/>
      <c r="D10" s="282"/>
      <c r="E10" s="288" t="s">
        <v>18</v>
      </c>
      <c r="F10" s="289"/>
      <c r="G10" s="290"/>
      <c r="H10" s="291"/>
    </row>
    <row r="11" spans="1:8" ht="15">
      <c r="A11" s="286" t="s">
        <v>19</v>
      </c>
      <c r="B11" s="292" t="s">
        <v>20</v>
      </c>
      <c r="C11" s="200">
        <v>41993</v>
      </c>
      <c r="D11" s="200">
        <v>40754</v>
      </c>
      <c r="E11" s="288" t="s">
        <v>21</v>
      </c>
      <c r="F11" s="293" t="s">
        <v>22</v>
      </c>
      <c r="G11" s="201">
        <v>132000</v>
      </c>
      <c r="H11" s="201">
        <v>132000</v>
      </c>
    </row>
    <row r="12" spans="1:8" ht="15">
      <c r="A12" s="286" t="s">
        <v>23</v>
      </c>
      <c r="B12" s="292" t="s">
        <v>24</v>
      </c>
      <c r="C12" s="200">
        <v>85329</v>
      </c>
      <c r="D12" s="200">
        <v>86030</v>
      </c>
      <c r="E12" s="288" t="s">
        <v>25</v>
      </c>
      <c r="F12" s="293" t="s">
        <v>26</v>
      </c>
      <c r="G12" s="202">
        <v>132000</v>
      </c>
      <c r="H12" s="202">
        <v>132000</v>
      </c>
    </row>
    <row r="13" spans="1:8" ht="15">
      <c r="A13" s="286" t="s">
        <v>27</v>
      </c>
      <c r="B13" s="292" t="s">
        <v>28</v>
      </c>
      <c r="C13" s="200">
        <v>57630</v>
      </c>
      <c r="D13" s="200">
        <v>53596</v>
      </c>
      <c r="E13" s="288" t="s">
        <v>29</v>
      </c>
      <c r="F13" s="293" t="s">
        <v>30</v>
      </c>
      <c r="G13" s="202"/>
      <c r="H13" s="202"/>
    </row>
    <row r="14" spans="1:8" ht="15">
      <c r="A14" s="286" t="s">
        <v>31</v>
      </c>
      <c r="B14" s="292" t="s">
        <v>32</v>
      </c>
      <c r="C14" s="200">
        <v>2832</v>
      </c>
      <c r="D14" s="200">
        <v>2870</v>
      </c>
      <c r="E14" s="294" t="s">
        <v>33</v>
      </c>
      <c r="F14" s="293" t="s">
        <v>34</v>
      </c>
      <c r="G14" s="386">
        <v>-13595</v>
      </c>
      <c r="H14" s="386">
        <v>-11463</v>
      </c>
    </row>
    <row r="15" spans="1:8" ht="15">
      <c r="A15" s="286" t="s">
        <v>35</v>
      </c>
      <c r="B15" s="292" t="s">
        <v>36</v>
      </c>
      <c r="C15" s="200">
        <v>13126</v>
      </c>
      <c r="D15" s="200">
        <v>11278</v>
      </c>
      <c r="E15" s="294" t="s">
        <v>37</v>
      </c>
      <c r="F15" s="293" t="s">
        <v>38</v>
      </c>
      <c r="G15" s="386">
        <v>0</v>
      </c>
      <c r="H15" s="386">
        <v>0</v>
      </c>
    </row>
    <row r="16" spans="1:8" ht="15">
      <c r="A16" s="286" t="s">
        <v>39</v>
      </c>
      <c r="B16" s="295" t="s">
        <v>40</v>
      </c>
      <c r="C16" s="200">
        <v>8291</v>
      </c>
      <c r="D16" s="200">
        <v>5343</v>
      </c>
      <c r="E16" s="294" t="s">
        <v>41</v>
      </c>
      <c r="F16" s="293" t="s">
        <v>42</v>
      </c>
      <c r="G16" s="386">
        <v>0</v>
      </c>
      <c r="H16" s="386">
        <v>0</v>
      </c>
    </row>
    <row r="17" spans="1:18" ht="25.5">
      <c r="A17" s="286" t="s">
        <v>43</v>
      </c>
      <c r="B17" s="292" t="s">
        <v>44</v>
      </c>
      <c r="C17" s="200">
        <v>80401</v>
      </c>
      <c r="D17" s="200">
        <v>36467</v>
      </c>
      <c r="E17" s="294" t="s">
        <v>45</v>
      </c>
      <c r="F17" s="296" t="s">
        <v>46</v>
      </c>
      <c r="G17" s="203">
        <f>G11+G14+G15+G16</f>
        <v>118405</v>
      </c>
      <c r="H17" s="203">
        <f>H11+H14+H15+H16</f>
        <v>120537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47</v>
      </c>
      <c r="B18" s="292" t="s">
        <v>48</v>
      </c>
      <c r="C18" s="200"/>
      <c r="D18" s="200"/>
      <c r="E18" s="288" t="s">
        <v>49</v>
      </c>
      <c r="F18" s="297"/>
      <c r="G18" s="298"/>
      <c r="H18" s="299"/>
    </row>
    <row r="19" spans="1:15" ht="15">
      <c r="A19" s="286" t="s">
        <v>50</v>
      </c>
      <c r="B19" s="300" t="s">
        <v>51</v>
      </c>
      <c r="C19" s="204">
        <f>SUM(C11:C18)</f>
        <v>289602</v>
      </c>
      <c r="D19" s="204">
        <f>SUM(D11:D18)</f>
        <v>236338</v>
      </c>
      <c r="E19" s="288" t="s">
        <v>52</v>
      </c>
      <c r="F19" s="293" t="s">
        <v>53</v>
      </c>
      <c r="G19" s="201">
        <v>0</v>
      </c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54</v>
      </c>
      <c r="B20" s="300" t="s">
        <v>55</v>
      </c>
      <c r="C20" s="200">
        <v>7110</v>
      </c>
      <c r="D20" s="200">
        <v>6555</v>
      </c>
      <c r="E20" s="288" t="s">
        <v>56</v>
      </c>
      <c r="F20" s="293" t="s">
        <v>57</v>
      </c>
      <c r="G20" s="207">
        <v>23348</v>
      </c>
      <c r="H20" s="207">
        <v>23142</v>
      </c>
    </row>
    <row r="21" spans="1:18" ht="15">
      <c r="A21" s="286" t="s">
        <v>58</v>
      </c>
      <c r="B21" s="301" t="s">
        <v>59</v>
      </c>
      <c r="C21" s="200"/>
      <c r="D21" s="200"/>
      <c r="E21" s="302" t="s">
        <v>60</v>
      </c>
      <c r="F21" s="293" t="s">
        <v>61</v>
      </c>
      <c r="G21" s="205">
        <f>SUM(G22:G24)</f>
        <v>168404</v>
      </c>
      <c r="H21" s="205">
        <f>SUM(H22:H24)</f>
        <v>137916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62</v>
      </c>
      <c r="B22" s="292"/>
      <c r="C22" s="303"/>
      <c r="D22" s="204"/>
      <c r="E22" s="294" t="s">
        <v>63</v>
      </c>
      <c r="F22" s="293" t="s">
        <v>64</v>
      </c>
      <c r="G22" s="201">
        <v>25934</v>
      </c>
      <c r="H22" s="201">
        <v>21855</v>
      </c>
    </row>
    <row r="23" spans="1:13" ht="15">
      <c r="A23" s="286" t="s">
        <v>65</v>
      </c>
      <c r="B23" s="292" t="s">
        <v>66</v>
      </c>
      <c r="C23" s="200">
        <v>6711</v>
      </c>
      <c r="D23" s="200">
        <v>6752</v>
      </c>
      <c r="E23" s="304" t="s">
        <v>67</v>
      </c>
      <c r="F23" s="293" t="s">
        <v>68</v>
      </c>
      <c r="G23" s="201"/>
      <c r="H23" s="201"/>
      <c r="M23" s="206"/>
    </row>
    <row r="24" spans="1:8" ht="15">
      <c r="A24" s="286" t="s">
        <v>69</v>
      </c>
      <c r="B24" s="292" t="s">
        <v>70</v>
      </c>
      <c r="C24" s="200">
        <v>2539</v>
      </c>
      <c r="D24" s="200">
        <v>2968</v>
      </c>
      <c r="E24" s="288" t="s">
        <v>71</v>
      </c>
      <c r="F24" s="293" t="s">
        <v>72</v>
      </c>
      <c r="G24" s="201">
        <v>142470</v>
      </c>
      <c r="H24" s="201">
        <v>116061</v>
      </c>
    </row>
    <row r="25" spans="1:18" ht="15">
      <c r="A25" s="286" t="s">
        <v>73</v>
      </c>
      <c r="B25" s="292" t="s">
        <v>74</v>
      </c>
      <c r="C25" s="200"/>
      <c r="D25" s="200"/>
      <c r="E25" s="304" t="s">
        <v>75</v>
      </c>
      <c r="F25" s="296" t="s">
        <v>76</v>
      </c>
      <c r="G25" s="203">
        <f>G19+G20+G21</f>
        <v>191752</v>
      </c>
      <c r="H25" s="203">
        <f>H19+H20+H21</f>
        <v>161058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77</v>
      </c>
      <c r="B26" s="292" t="s">
        <v>78</v>
      </c>
      <c r="C26" s="200">
        <f>1711+2370</f>
        <v>4081</v>
      </c>
      <c r="D26" s="200">
        <v>3478</v>
      </c>
      <c r="E26" s="288" t="s">
        <v>79</v>
      </c>
      <c r="F26" s="297"/>
      <c r="G26" s="298"/>
      <c r="H26" s="299"/>
    </row>
    <row r="27" spans="1:18" ht="15">
      <c r="A27" s="286" t="s">
        <v>80</v>
      </c>
      <c r="B27" s="301" t="s">
        <v>81</v>
      </c>
      <c r="C27" s="204">
        <f>SUM(C23:C26)</f>
        <v>13331</v>
      </c>
      <c r="D27" s="204">
        <f>SUM(D23:D26)</f>
        <v>13198</v>
      </c>
      <c r="E27" s="304" t="s">
        <v>82</v>
      </c>
      <c r="F27" s="293" t="s">
        <v>83</v>
      </c>
      <c r="G27" s="203">
        <f>SUM(G28:G30)</f>
        <v>0</v>
      </c>
      <c r="H27" s="203">
        <f>SUM(H28:H30)</f>
        <v>0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84</v>
      </c>
      <c r="F28" s="293" t="s">
        <v>85</v>
      </c>
      <c r="G28" s="201"/>
      <c r="H28" s="201"/>
    </row>
    <row r="29" spans="1:13" ht="15">
      <c r="A29" s="286" t="s">
        <v>86</v>
      </c>
      <c r="B29" s="292"/>
      <c r="C29" s="303"/>
      <c r="D29" s="204"/>
      <c r="E29" s="302" t="s">
        <v>87</v>
      </c>
      <c r="F29" s="293" t="s">
        <v>88</v>
      </c>
      <c r="G29" s="386"/>
      <c r="H29" s="386"/>
      <c r="M29" s="206"/>
    </row>
    <row r="30" spans="1:8" ht="15">
      <c r="A30" s="286" t="s">
        <v>89</v>
      </c>
      <c r="B30" s="292" t="s">
        <v>90</v>
      </c>
      <c r="C30" s="200">
        <v>14158</v>
      </c>
      <c r="D30" s="200">
        <v>14781</v>
      </c>
      <c r="E30" s="288" t="s">
        <v>91</v>
      </c>
      <c r="F30" s="293" t="s">
        <v>92</v>
      </c>
      <c r="G30" s="207"/>
      <c r="H30" s="207"/>
    </row>
    <row r="31" spans="1:13" ht="15">
      <c r="A31" s="286" t="s">
        <v>93</v>
      </c>
      <c r="B31" s="292" t="s">
        <v>94</v>
      </c>
      <c r="C31" s="387">
        <v>0</v>
      </c>
      <c r="D31" s="387">
        <v>0</v>
      </c>
      <c r="E31" s="304" t="s">
        <v>95</v>
      </c>
      <c r="F31" s="293" t="s">
        <v>96</v>
      </c>
      <c r="G31" s="201">
        <v>34057</v>
      </c>
      <c r="H31" s="201">
        <v>38404</v>
      </c>
      <c r="M31" s="206"/>
    </row>
    <row r="32" spans="1:15" ht="15">
      <c r="A32" s="286" t="s">
        <v>97</v>
      </c>
      <c r="B32" s="301" t="s">
        <v>98</v>
      </c>
      <c r="C32" s="204">
        <f>C30+C31</f>
        <v>14158</v>
      </c>
      <c r="D32" s="204">
        <f>D30+D31</f>
        <v>14781</v>
      </c>
      <c r="E32" s="294" t="s">
        <v>99</v>
      </c>
      <c r="F32" s="293" t="s">
        <v>100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101</v>
      </c>
      <c r="B33" s="295"/>
      <c r="C33" s="303"/>
      <c r="D33" s="204"/>
      <c r="E33" s="304" t="s">
        <v>102</v>
      </c>
      <c r="F33" s="296" t="s">
        <v>103</v>
      </c>
      <c r="G33" s="203">
        <f>G27+G31+G32</f>
        <v>34057</v>
      </c>
      <c r="H33" s="203">
        <f>H27+H31+H32</f>
        <v>38404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837</v>
      </c>
      <c r="B34" s="295" t="s">
        <v>104</v>
      </c>
      <c r="C34" s="204">
        <f>SUM(C35:C38)</f>
        <v>21086</v>
      </c>
      <c r="D34" s="204">
        <f>SUM(D35:D38)</f>
        <v>19972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105</v>
      </c>
      <c r="B35" s="292" t="s">
        <v>106</v>
      </c>
      <c r="C35" s="200"/>
      <c r="D35" s="200"/>
      <c r="E35" s="308"/>
      <c r="F35" s="309"/>
      <c r="G35" s="310"/>
      <c r="H35" s="311"/>
    </row>
    <row r="36" spans="1:18" ht="15">
      <c r="A36" s="286" t="s">
        <v>107</v>
      </c>
      <c r="B36" s="292" t="s">
        <v>108</v>
      </c>
      <c r="C36" s="200"/>
      <c r="D36" s="200"/>
      <c r="E36" s="288" t="s">
        <v>109</v>
      </c>
      <c r="F36" s="312" t="s">
        <v>110</v>
      </c>
      <c r="G36" s="203">
        <f>G25+G17+G33</f>
        <v>344214</v>
      </c>
      <c r="H36" s="203">
        <f>H25+H17+H33</f>
        <v>319999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111</v>
      </c>
      <c r="B37" s="292" t="s">
        <v>112</v>
      </c>
      <c r="C37" s="200">
        <v>566</v>
      </c>
      <c r="D37" s="200">
        <v>0</v>
      </c>
      <c r="E37" s="288"/>
      <c r="F37" s="313"/>
      <c r="G37" s="306"/>
      <c r="H37" s="307"/>
      <c r="M37" s="206"/>
    </row>
    <row r="38" spans="1:8" ht="15">
      <c r="A38" s="286" t="s">
        <v>113</v>
      </c>
      <c r="B38" s="292" t="s">
        <v>114</v>
      </c>
      <c r="C38" s="200">
        <v>20520</v>
      </c>
      <c r="D38" s="200">
        <v>19972</v>
      </c>
      <c r="E38" s="314"/>
      <c r="F38" s="309"/>
      <c r="G38" s="310"/>
      <c r="H38" s="311"/>
    </row>
    <row r="39" spans="1:15" ht="15">
      <c r="A39" s="286" t="s">
        <v>115</v>
      </c>
      <c r="B39" s="315" t="s">
        <v>116</v>
      </c>
      <c r="C39" s="208">
        <f>C40+C41+C43</f>
        <v>0</v>
      </c>
      <c r="D39" s="208">
        <f>D40+D41+D43</f>
        <v>0</v>
      </c>
      <c r="E39" s="535" t="s">
        <v>117</v>
      </c>
      <c r="F39" s="312" t="s">
        <v>118</v>
      </c>
      <c r="G39" s="207">
        <v>46302</v>
      </c>
      <c r="H39" s="207">
        <v>45813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119</v>
      </c>
      <c r="B40" s="315" t="s">
        <v>120</v>
      </c>
      <c r="C40" s="200"/>
      <c r="D40" s="200"/>
      <c r="E40" s="294"/>
      <c r="F40" s="313"/>
      <c r="G40" s="306"/>
      <c r="H40" s="307"/>
    </row>
    <row r="41" spans="1:8" ht="15">
      <c r="A41" s="286" t="s">
        <v>121</v>
      </c>
      <c r="B41" s="315" t="s">
        <v>122</v>
      </c>
      <c r="C41" s="200"/>
      <c r="D41" s="200"/>
      <c r="E41" s="535" t="s">
        <v>123</v>
      </c>
      <c r="F41" s="316"/>
      <c r="G41" s="317"/>
      <c r="H41" s="318"/>
    </row>
    <row r="42" spans="1:8" ht="15">
      <c r="A42" s="286" t="s">
        <v>124</v>
      </c>
      <c r="B42" s="315" t="s">
        <v>125</v>
      </c>
      <c r="C42" s="209"/>
      <c r="D42" s="209"/>
      <c r="E42" s="288" t="s">
        <v>126</v>
      </c>
      <c r="F42" s="309"/>
      <c r="G42" s="310"/>
      <c r="H42" s="311"/>
    </row>
    <row r="43" spans="1:13" ht="15">
      <c r="A43" s="286" t="s">
        <v>127</v>
      </c>
      <c r="B43" s="315" t="s">
        <v>128</v>
      </c>
      <c r="C43" s="200"/>
      <c r="D43" s="200"/>
      <c r="E43" s="294" t="s">
        <v>129</v>
      </c>
      <c r="F43" s="293" t="s">
        <v>130</v>
      </c>
      <c r="G43" s="201"/>
      <c r="H43" s="201"/>
      <c r="M43" s="206"/>
    </row>
    <row r="44" spans="1:8" ht="15">
      <c r="A44" s="286" t="s">
        <v>131</v>
      </c>
      <c r="B44" s="315" t="s">
        <v>132</v>
      </c>
      <c r="C44" s="200"/>
      <c r="D44" s="200"/>
      <c r="E44" s="319" t="s">
        <v>133</v>
      </c>
      <c r="F44" s="293" t="s">
        <v>134</v>
      </c>
      <c r="G44" s="201">
        <v>57024</v>
      </c>
      <c r="H44" s="201">
        <v>23280</v>
      </c>
    </row>
    <row r="45" spans="1:15" ht="15">
      <c r="A45" s="286" t="s">
        <v>135</v>
      </c>
      <c r="B45" s="300" t="s">
        <v>136</v>
      </c>
      <c r="C45" s="204">
        <f>C34+C39+C44</f>
        <v>21086</v>
      </c>
      <c r="D45" s="204">
        <f>D34+D39+D44</f>
        <v>19972</v>
      </c>
      <c r="E45" s="302" t="s">
        <v>137</v>
      </c>
      <c r="F45" s="293" t="s">
        <v>138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139</v>
      </c>
      <c r="B46" s="292"/>
      <c r="C46" s="303"/>
      <c r="D46" s="204"/>
      <c r="E46" s="288" t="s">
        <v>140</v>
      </c>
      <c r="F46" s="293" t="s">
        <v>141</v>
      </c>
      <c r="G46" s="201"/>
      <c r="H46" s="201"/>
    </row>
    <row r="47" spans="1:13" ht="15">
      <c r="A47" s="286" t="s">
        <v>142</v>
      </c>
      <c r="B47" s="292" t="s">
        <v>143</v>
      </c>
      <c r="C47" s="200">
        <v>748</v>
      </c>
      <c r="D47" s="200">
        <v>729</v>
      </c>
      <c r="E47" s="302" t="s">
        <v>144</v>
      </c>
      <c r="F47" s="293" t="s">
        <v>145</v>
      </c>
      <c r="G47" s="201"/>
      <c r="H47" s="201"/>
      <c r="M47" s="206"/>
    </row>
    <row r="48" spans="1:8" ht="15">
      <c r="A48" s="286" t="s">
        <v>146</v>
      </c>
      <c r="B48" s="295" t="s">
        <v>147</v>
      </c>
      <c r="C48" s="200">
        <v>1298</v>
      </c>
      <c r="D48" s="200"/>
      <c r="E48" s="288" t="s">
        <v>148</v>
      </c>
      <c r="F48" s="293" t="s">
        <v>149</v>
      </c>
      <c r="G48" s="201">
        <f>2430+2596</f>
        <v>5026</v>
      </c>
      <c r="H48" s="201">
        <f>1534+1368</f>
        <v>2902</v>
      </c>
    </row>
    <row r="49" spans="1:18" ht="15">
      <c r="A49" s="286" t="s">
        <v>150</v>
      </c>
      <c r="B49" s="292" t="s">
        <v>151</v>
      </c>
      <c r="C49" s="200"/>
      <c r="D49" s="200"/>
      <c r="E49" s="302" t="s">
        <v>50</v>
      </c>
      <c r="F49" s="296" t="s">
        <v>152</v>
      </c>
      <c r="G49" s="203">
        <f>SUM(G43:G48)</f>
        <v>62050</v>
      </c>
      <c r="H49" s="203">
        <f>SUM(H43:H48)</f>
        <v>26182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77</v>
      </c>
      <c r="B50" s="292" t="s">
        <v>153</v>
      </c>
      <c r="C50" s="200">
        <v>599</v>
      </c>
      <c r="D50" s="200">
        <v>848</v>
      </c>
      <c r="E50" s="288"/>
      <c r="F50" s="293"/>
      <c r="G50" s="303"/>
      <c r="H50" s="203"/>
    </row>
    <row r="51" spans="1:15" ht="15">
      <c r="A51" s="286" t="s">
        <v>154</v>
      </c>
      <c r="B51" s="300" t="s">
        <v>155</v>
      </c>
      <c r="C51" s="204">
        <f>SUM(C47:C50)</f>
        <v>2645</v>
      </c>
      <c r="D51" s="204">
        <f>SUM(D47:D50)</f>
        <v>1577</v>
      </c>
      <c r="E51" s="302" t="s">
        <v>156</v>
      </c>
      <c r="F51" s="296" t="s">
        <v>157</v>
      </c>
      <c r="G51" s="201">
        <v>2252</v>
      </c>
      <c r="H51" s="201">
        <v>2389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158</v>
      </c>
      <c r="B52" s="300"/>
      <c r="C52" s="303"/>
      <c r="D52" s="204"/>
      <c r="E52" s="288" t="s">
        <v>159</v>
      </c>
      <c r="F52" s="296" t="s">
        <v>160</v>
      </c>
      <c r="G52" s="201"/>
      <c r="H52" s="201"/>
    </row>
    <row r="53" spans="1:8" ht="15">
      <c r="A53" s="286" t="s">
        <v>161</v>
      </c>
      <c r="B53" s="300" t="s">
        <v>162</v>
      </c>
      <c r="C53" s="200"/>
      <c r="D53" s="200"/>
      <c r="E53" s="288" t="s">
        <v>163</v>
      </c>
      <c r="F53" s="296" t="s">
        <v>164</v>
      </c>
      <c r="G53" s="201">
        <v>7405</v>
      </c>
      <c r="H53" s="201">
        <v>6531</v>
      </c>
    </row>
    <row r="54" spans="1:8" ht="15">
      <c r="A54" s="286" t="s">
        <v>165</v>
      </c>
      <c r="B54" s="300" t="s">
        <v>166</v>
      </c>
      <c r="C54" s="200">
        <v>3327</v>
      </c>
      <c r="D54" s="200">
        <v>1709</v>
      </c>
      <c r="E54" s="288" t="s">
        <v>167</v>
      </c>
      <c r="F54" s="296" t="s">
        <v>168</v>
      </c>
      <c r="G54" s="201"/>
      <c r="H54" s="201"/>
    </row>
    <row r="55" spans="1:18" ht="25.5">
      <c r="A55" s="320" t="s">
        <v>169</v>
      </c>
      <c r="B55" s="321" t="s">
        <v>170</v>
      </c>
      <c r="C55" s="204">
        <f>C19+C20+C21+C27+C32+C45+C51+C53+C54</f>
        <v>351259</v>
      </c>
      <c r="D55" s="204">
        <f>D19+D20+D21+D27+D32+D45+D51+D53+D54</f>
        <v>294130</v>
      </c>
      <c r="E55" s="288" t="s">
        <v>171</v>
      </c>
      <c r="F55" s="312" t="s">
        <v>172</v>
      </c>
      <c r="G55" s="203">
        <f>G49+G51+G52+G53+G54</f>
        <v>71707</v>
      </c>
      <c r="H55" s="203">
        <f>H49+H51+H52+H53+H54</f>
        <v>35102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7" t="s">
        <v>173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174</v>
      </c>
      <c r="B57" s="292"/>
      <c r="C57" s="303"/>
      <c r="D57" s="204"/>
      <c r="E57" s="540" t="s">
        <v>175</v>
      </c>
      <c r="F57" s="322"/>
      <c r="G57" s="303"/>
      <c r="H57" s="203"/>
      <c r="M57" s="206"/>
    </row>
    <row r="58" spans="1:8" ht="15">
      <c r="A58" s="286" t="s">
        <v>176</v>
      </c>
      <c r="B58" s="292" t="s">
        <v>177</v>
      </c>
      <c r="C58" s="200">
        <v>29565</v>
      </c>
      <c r="D58" s="200">
        <v>26142</v>
      </c>
      <c r="E58" s="288" t="s">
        <v>126</v>
      </c>
      <c r="F58" s="323"/>
      <c r="G58" s="303"/>
      <c r="H58" s="203"/>
    </row>
    <row r="59" spans="1:13" ht="15">
      <c r="A59" s="286" t="s">
        <v>178</v>
      </c>
      <c r="B59" s="292" t="s">
        <v>179</v>
      </c>
      <c r="C59" s="200">
        <v>43280</v>
      </c>
      <c r="D59" s="200">
        <f>38409+3813</f>
        <v>42222</v>
      </c>
      <c r="E59" s="302" t="s">
        <v>180</v>
      </c>
      <c r="F59" s="293" t="s">
        <v>181</v>
      </c>
      <c r="G59" s="201">
        <v>146880</v>
      </c>
      <c r="H59" s="201">
        <v>151765</v>
      </c>
      <c r="M59" s="206"/>
    </row>
    <row r="60" spans="1:8" ht="15">
      <c r="A60" s="286" t="s">
        <v>182</v>
      </c>
      <c r="B60" s="292" t="s">
        <v>183</v>
      </c>
      <c r="C60" s="200">
        <v>54660</v>
      </c>
      <c r="D60" s="200">
        <v>53256</v>
      </c>
      <c r="E60" s="288" t="s">
        <v>184</v>
      </c>
      <c r="F60" s="293" t="s">
        <v>185</v>
      </c>
      <c r="G60" s="201">
        <v>65674</v>
      </c>
      <c r="H60" s="201">
        <v>42650</v>
      </c>
    </row>
    <row r="61" spans="1:18" ht="15">
      <c r="A61" s="286" t="s">
        <v>186</v>
      </c>
      <c r="B61" s="295" t="s">
        <v>187</v>
      </c>
      <c r="C61" s="200">
        <v>4746</v>
      </c>
      <c r="D61" s="200">
        <f>4402</f>
        <v>4402</v>
      </c>
      <c r="E61" s="294" t="s">
        <v>188</v>
      </c>
      <c r="F61" s="323" t="s">
        <v>189</v>
      </c>
      <c r="G61" s="203">
        <f>SUM(G62:G68)</f>
        <v>68338</v>
      </c>
      <c r="H61" s="203">
        <f>SUM(H62:H68)</f>
        <v>77925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190</v>
      </c>
      <c r="B62" s="295" t="s">
        <v>191</v>
      </c>
      <c r="C62" s="200"/>
      <c r="D62" s="200"/>
      <c r="E62" s="294" t="s">
        <v>192</v>
      </c>
      <c r="F62" s="293" t="s">
        <v>193</v>
      </c>
      <c r="G62" s="201">
        <v>2306</v>
      </c>
      <c r="H62" s="201">
        <v>3360</v>
      </c>
    </row>
    <row r="63" spans="1:13" ht="15">
      <c r="A63" s="286" t="s">
        <v>194</v>
      </c>
      <c r="B63" s="292" t="s">
        <v>195</v>
      </c>
      <c r="C63" s="200"/>
      <c r="D63" s="200"/>
      <c r="E63" s="288" t="s">
        <v>196</v>
      </c>
      <c r="F63" s="293" t="s">
        <v>197</v>
      </c>
      <c r="G63" s="201">
        <v>0</v>
      </c>
      <c r="H63" s="201">
        <v>0</v>
      </c>
      <c r="M63" s="206"/>
    </row>
    <row r="64" spans="1:15" ht="15">
      <c r="A64" s="286" t="s">
        <v>50</v>
      </c>
      <c r="B64" s="300" t="s">
        <v>198</v>
      </c>
      <c r="C64" s="204">
        <f>SUM(C58:C63)</f>
        <v>132251</v>
      </c>
      <c r="D64" s="204">
        <f>SUM(D58:D63)</f>
        <v>126022</v>
      </c>
      <c r="E64" s="288" t="s">
        <v>199</v>
      </c>
      <c r="F64" s="293" t="s">
        <v>200</v>
      </c>
      <c r="G64" s="201">
        <v>55538</v>
      </c>
      <c r="H64" s="201">
        <v>62605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201</v>
      </c>
      <c r="F65" s="293" t="s">
        <v>202</v>
      </c>
      <c r="G65" s="201">
        <v>1476</v>
      </c>
      <c r="H65" s="201">
        <v>3427</v>
      </c>
    </row>
    <row r="66" spans="1:8" ht="15">
      <c r="A66" s="286" t="s">
        <v>203</v>
      </c>
      <c r="B66" s="292"/>
      <c r="C66" s="303"/>
      <c r="D66" s="204"/>
      <c r="E66" s="288" t="s">
        <v>204</v>
      </c>
      <c r="F66" s="293" t="s">
        <v>205</v>
      </c>
      <c r="G66" s="201">
        <v>5595</v>
      </c>
      <c r="H66" s="201">
        <v>4339</v>
      </c>
    </row>
    <row r="67" spans="1:8" ht="15">
      <c r="A67" s="286" t="s">
        <v>206</v>
      </c>
      <c r="B67" s="292" t="s">
        <v>207</v>
      </c>
      <c r="C67" s="200">
        <v>60691</v>
      </c>
      <c r="D67" s="200">
        <v>63113</v>
      </c>
      <c r="E67" s="288" t="s">
        <v>208</v>
      </c>
      <c r="F67" s="293" t="s">
        <v>209</v>
      </c>
      <c r="G67" s="201">
        <v>1262</v>
      </c>
      <c r="H67" s="201">
        <v>1148</v>
      </c>
    </row>
    <row r="68" spans="1:8" ht="15">
      <c r="A68" s="286" t="s">
        <v>210</v>
      </c>
      <c r="B68" s="292" t="s">
        <v>211</v>
      </c>
      <c r="C68" s="200">
        <v>158922</v>
      </c>
      <c r="D68" s="200">
        <v>131493</v>
      </c>
      <c r="E68" s="288" t="s">
        <v>212</v>
      </c>
      <c r="F68" s="293" t="s">
        <v>213</v>
      </c>
      <c r="G68" s="201">
        <v>2161</v>
      </c>
      <c r="H68" s="201">
        <v>3046</v>
      </c>
    </row>
    <row r="69" spans="1:8" ht="15">
      <c r="A69" s="286" t="s">
        <v>214</v>
      </c>
      <c r="B69" s="292" t="s">
        <v>215</v>
      </c>
      <c r="C69" s="200">
        <v>5884</v>
      </c>
      <c r="D69" s="200">
        <v>5263</v>
      </c>
      <c r="E69" s="302" t="s">
        <v>77</v>
      </c>
      <c r="F69" s="293" t="s">
        <v>216</v>
      </c>
      <c r="G69" s="201">
        <v>4390</v>
      </c>
      <c r="H69" s="201">
        <v>3232</v>
      </c>
    </row>
    <row r="70" spans="1:8" ht="15">
      <c r="A70" s="286" t="s">
        <v>217</v>
      </c>
      <c r="B70" s="292" t="s">
        <v>218</v>
      </c>
      <c r="C70" s="200">
        <v>499</v>
      </c>
      <c r="D70" s="200">
        <v>1239</v>
      </c>
      <c r="E70" s="288" t="s">
        <v>219</v>
      </c>
      <c r="F70" s="293" t="s">
        <v>220</v>
      </c>
      <c r="G70" s="201">
        <v>100</v>
      </c>
      <c r="H70" s="201">
        <v>102</v>
      </c>
    </row>
    <row r="71" spans="1:18" ht="15">
      <c r="A71" s="286" t="s">
        <v>221</v>
      </c>
      <c r="B71" s="292" t="s">
        <v>222</v>
      </c>
      <c r="C71" s="200">
        <v>11110</v>
      </c>
      <c r="D71" s="200">
        <v>14502</v>
      </c>
      <c r="E71" s="304" t="s">
        <v>45</v>
      </c>
      <c r="F71" s="324" t="s">
        <v>223</v>
      </c>
      <c r="G71" s="210">
        <f>G59+G60+G61+G69+G70</f>
        <v>285382</v>
      </c>
      <c r="H71" s="210">
        <f>H59+H60+H61+H69+H70</f>
        <v>275674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224</v>
      </c>
      <c r="B72" s="292" t="s">
        <v>225</v>
      </c>
      <c r="C72" s="200">
        <v>7947</v>
      </c>
      <c r="D72" s="200">
        <v>5657</v>
      </c>
      <c r="E72" s="294"/>
      <c r="F72" s="325"/>
      <c r="G72" s="326"/>
      <c r="H72" s="327"/>
    </row>
    <row r="73" spans="1:8" ht="15">
      <c r="A73" s="286" t="s">
        <v>226</v>
      </c>
      <c r="B73" s="292" t="s">
        <v>227</v>
      </c>
      <c r="C73" s="200"/>
      <c r="D73" s="200">
        <v>0</v>
      </c>
      <c r="E73" s="212"/>
      <c r="F73" s="328"/>
      <c r="G73" s="329"/>
      <c r="H73" s="330"/>
    </row>
    <row r="74" spans="1:8" ht="15">
      <c r="A74" s="286" t="s">
        <v>228</v>
      </c>
      <c r="B74" s="292" t="s">
        <v>229</v>
      </c>
      <c r="C74" s="200">
        <v>1574</v>
      </c>
      <c r="D74" s="200">
        <f>24+508+275+197</f>
        <v>1004</v>
      </c>
      <c r="E74" s="288" t="s">
        <v>230</v>
      </c>
      <c r="F74" s="331" t="s">
        <v>231</v>
      </c>
      <c r="G74" s="201"/>
      <c r="H74" s="201"/>
    </row>
    <row r="75" spans="1:15" ht="15">
      <c r="A75" s="286" t="s">
        <v>75</v>
      </c>
      <c r="B75" s="300" t="s">
        <v>232</v>
      </c>
      <c r="C75" s="204">
        <f>SUM(C67:C74)</f>
        <v>246627</v>
      </c>
      <c r="D75" s="204">
        <f>SUM(D67:D74)</f>
        <v>222271</v>
      </c>
      <c r="E75" s="302" t="s">
        <v>159</v>
      </c>
      <c r="F75" s="296" t="s">
        <v>233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234</v>
      </c>
      <c r="F76" s="296" t="s">
        <v>235</v>
      </c>
      <c r="G76" s="201"/>
      <c r="H76" s="201"/>
    </row>
    <row r="77" spans="1:13" ht="15">
      <c r="A77" s="286" t="s">
        <v>236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237</v>
      </c>
      <c r="B78" s="292" t="s">
        <v>238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239</v>
      </c>
      <c r="B79" s="292" t="s">
        <v>240</v>
      </c>
      <c r="C79" s="200"/>
      <c r="D79" s="200"/>
      <c r="E79" s="302" t="s">
        <v>241</v>
      </c>
      <c r="F79" s="312" t="s">
        <v>242</v>
      </c>
      <c r="G79" s="211">
        <f>G71+G74+G75+G76</f>
        <v>285382</v>
      </c>
      <c r="H79" s="211">
        <f>H71+H74+H75+H76</f>
        <v>275674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243</v>
      </c>
      <c r="B80" s="292" t="s">
        <v>244</v>
      </c>
      <c r="C80" s="200"/>
      <c r="D80" s="200"/>
      <c r="E80" s="288"/>
      <c r="F80" s="335"/>
      <c r="G80" s="336"/>
      <c r="H80" s="337"/>
    </row>
    <row r="81" spans="1:8" ht="15">
      <c r="A81" s="286" t="s">
        <v>245</v>
      </c>
      <c r="B81" s="292" t="s">
        <v>246</v>
      </c>
      <c r="C81" s="200"/>
      <c r="D81" s="200"/>
      <c r="E81" s="212"/>
      <c r="F81" s="336"/>
      <c r="G81" s="336"/>
      <c r="H81" s="337"/>
    </row>
    <row r="82" spans="1:8" ht="15">
      <c r="A82" s="286" t="s">
        <v>247</v>
      </c>
      <c r="B82" s="292" t="s">
        <v>248</v>
      </c>
      <c r="C82" s="200"/>
      <c r="D82" s="200"/>
      <c r="E82" s="314"/>
      <c r="F82" s="336"/>
      <c r="G82" s="336"/>
      <c r="H82" s="337"/>
    </row>
    <row r="83" spans="1:8" ht="15">
      <c r="A83" s="286" t="s">
        <v>131</v>
      </c>
      <c r="B83" s="292" t="s">
        <v>249</v>
      </c>
      <c r="C83" s="200"/>
      <c r="D83" s="200"/>
      <c r="E83" s="212"/>
      <c r="F83" s="336"/>
      <c r="G83" s="336"/>
      <c r="H83" s="337"/>
    </row>
    <row r="84" spans="1:14" ht="15">
      <c r="A84" s="286" t="s">
        <v>250</v>
      </c>
      <c r="B84" s="300" t="s">
        <v>251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252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253</v>
      </c>
      <c r="B87" s="292" t="s">
        <v>254</v>
      </c>
      <c r="C87" s="200">
        <v>1132</v>
      </c>
      <c r="D87" s="200">
        <v>291</v>
      </c>
      <c r="E87" s="212"/>
      <c r="F87" s="336"/>
      <c r="G87" s="336"/>
      <c r="H87" s="337"/>
      <c r="M87" s="206"/>
    </row>
    <row r="88" spans="1:8" ht="15">
      <c r="A88" s="286" t="s">
        <v>255</v>
      </c>
      <c r="B88" s="292" t="s">
        <v>256</v>
      </c>
      <c r="C88" s="200">
        <v>11399</v>
      </c>
      <c r="D88" s="200">
        <f>18755</f>
        <v>18755</v>
      </c>
      <c r="E88" s="314"/>
      <c r="F88" s="336"/>
      <c r="G88" s="336"/>
      <c r="H88" s="337"/>
    </row>
    <row r="89" spans="1:13" ht="15">
      <c r="A89" s="286" t="s">
        <v>257</v>
      </c>
      <c r="B89" s="292" t="s">
        <v>258</v>
      </c>
      <c r="C89" s="200">
        <f>2017+82+1477</f>
        <v>3576</v>
      </c>
      <c r="D89" s="200">
        <f>13114+75</f>
        <v>13189</v>
      </c>
      <c r="E89" s="314"/>
      <c r="F89" s="336"/>
      <c r="G89" s="336"/>
      <c r="H89" s="337"/>
      <c r="M89" s="206"/>
    </row>
    <row r="90" spans="1:8" ht="15">
      <c r="A90" s="286" t="s">
        <v>259</v>
      </c>
      <c r="B90" s="292" t="s">
        <v>260</v>
      </c>
      <c r="C90" s="200"/>
      <c r="D90" s="200"/>
      <c r="E90" s="314"/>
      <c r="F90" s="336"/>
      <c r="G90" s="336"/>
      <c r="H90" s="337"/>
    </row>
    <row r="91" spans="1:14" ht="15">
      <c r="A91" s="286" t="s">
        <v>261</v>
      </c>
      <c r="B91" s="300" t="s">
        <v>262</v>
      </c>
      <c r="C91" s="204">
        <f>SUM(C87:C90)</f>
        <v>16107</v>
      </c>
      <c r="D91" s="204">
        <f>SUM(D87:D90)</f>
        <v>32235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263</v>
      </c>
      <c r="B92" s="300" t="s">
        <v>264</v>
      </c>
      <c r="C92" s="200">
        <v>1361</v>
      </c>
      <c r="D92" s="200">
        <v>1930</v>
      </c>
      <c r="E92" s="314"/>
      <c r="F92" s="336"/>
      <c r="G92" s="336"/>
      <c r="H92" s="337"/>
    </row>
    <row r="93" spans="1:14" ht="15">
      <c r="A93" s="286" t="s">
        <v>265</v>
      </c>
      <c r="B93" s="338" t="s">
        <v>266</v>
      </c>
      <c r="C93" s="204">
        <f>C64+C75+C84+C91+C92</f>
        <v>396346</v>
      </c>
      <c r="D93" s="204">
        <f>D64+D75+D84+D91+D92</f>
        <v>382458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8" t="s">
        <v>267</v>
      </c>
      <c r="B94" s="339" t="s">
        <v>268</v>
      </c>
      <c r="C94" s="213">
        <f>C93+C55</f>
        <v>747605</v>
      </c>
      <c r="D94" s="213">
        <f>D93+D55</f>
        <v>676588</v>
      </c>
      <c r="E94" s="539" t="s">
        <v>269</v>
      </c>
      <c r="F94" s="340" t="s">
        <v>270</v>
      </c>
      <c r="G94" s="214">
        <f>G36+G39+G55+G79</f>
        <v>747605</v>
      </c>
      <c r="H94" s="214">
        <f>H36+H39+H55+H79</f>
        <v>676588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21" t="s">
        <v>838</v>
      </c>
      <c r="B96" s="522"/>
      <c r="C96" s="199"/>
      <c r="D96" s="199"/>
      <c r="E96" s="523"/>
      <c r="F96" s="219"/>
      <c r="G96" s="220"/>
      <c r="H96" s="221"/>
      <c r="M96" s="206"/>
    </row>
    <row r="97" spans="1:13" ht="15">
      <c r="A97" s="521"/>
      <c r="B97" s="522"/>
      <c r="C97" s="199"/>
      <c r="D97" s="199"/>
      <c r="E97" s="523"/>
      <c r="F97" s="219"/>
      <c r="G97" s="220"/>
      <c r="H97" s="221"/>
      <c r="M97" s="206"/>
    </row>
    <row r="98" spans="1:13" ht="15">
      <c r="A98" s="77" t="s">
        <v>893</v>
      </c>
      <c r="B98" s="522"/>
      <c r="C98" s="588" t="s">
        <v>848</v>
      </c>
      <c r="D98" s="588"/>
      <c r="E98" s="588"/>
      <c r="F98" s="219"/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>
      <c r="A100" s="222"/>
      <c r="B100" s="222"/>
      <c r="C100" s="588" t="s">
        <v>849</v>
      </c>
      <c r="D100" s="589"/>
      <c r="E100" s="589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3">
      <selection activeCell="D39" sqref="D3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889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0</v>
      </c>
      <c r="B2" s="516"/>
      <c r="C2" s="516"/>
      <c r="D2" s="516"/>
      <c r="E2" s="516" t="str">
        <f>'справка №1-БАЛАНС'!E3</f>
        <v>СОФАРМА АД</v>
      </c>
      <c r="F2" s="592" t="s">
        <v>1</v>
      </c>
      <c r="G2" s="592"/>
      <c r="H2" s="348">
        <f>'справка №1-БАЛАНС'!H3</f>
        <v>831902088</v>
      </c>
    </row>
    <row r="3" spans="1:8" ht="15">
      <c r="A3" s="6" t="s">
        <v>271</v>
      </c>
      <c r="B3" s="516"/>
      <c r="C3" s="516"/>
      <c r="D3" s="516"/>
      <c r="E3" s="516" t="str">
        <f>'справка №1-БАЛАНС'!E4</f>
        <v>ПРЕДВАРИТЕЛЕН КОНСОЛИДИРАН </v>
      </c>
      <c r="F3" s="550" t="s">
        <v>3</v>
      </c>
      <c r="G3" s="349"/>
      <c r="H3" s="348">
        <f>'справка №1-БАЛАНС'!H4</f>
        <v>684</v>
      </c>
    </row>
    <row r="4" spans="1:8" ht="17.25" customHeight="1">
      <c r="A4" s="6" t="s">
        <v>4</v>
      </c>
      <c r="B4" s="552"/>
      <c r="C4" s="552"/>
      <c r="D4" s="552"/>
      <c r="E4" s="516" t="str">
        <f>'справка №1-БАЛАНС'!E5</f>
        <v>01.01.-31.12.2012</v>
      </c>
      <c r="F4" s="346"/>
      <c r="G4" s="347"/>
      <c r="H4" s="350" t="s">
        <v>272</v>
      </c>
    </row>
    <row r="5" spans="1:8" ht="24">
      <c r="A5" s="351" t="s">
        <v>273</v>
      </c>
      <c r="B5" s="352" t="s">
        <v>7</v>
      </c>
      <c r="C5" s="351" t="s">
        <v>8</v>
      </c>
      <c r="D5" s="353" t="s">
        <v>12</v>
      </c>
      <c r="E5" s="354" t="s">
        <v>274</v>
      </c>
      <c r="F5" s="352" t="s">
        <v>7</v>
      </c>
      <c r="G5" s="351" t="s">
        <v>8</v>
      </c>
      <c r="H5" s="351" t="s">
        <v>12</v>
      </c>
    </row>
    <row r="6" spans="1:8" ht="12">
      <c r="A6" s="354" t="s">
        <v>13</v>
      </c>
      <c r="B6" s="354" t="s">
        <v>14</v>
      </c>
      <c r="C6" s="354">
        <v>1</v>
      </c>
      <c r="D6" s="354">
        <v>2</v>
      </c>
      <c r="E6" s="354" t="s">
        <v>13</v>
      </c>
      <c r="F6" s="351" t="s">
        <v>14</v>
      </c>
      <c r="G6" s="351">
        <v>1</v>
      </c>
      <c r="H6" s="351">
        <v>2</v>
      </c>
    </row>
    <row r="7" spans="1:8" ht="12">
      <c r="A7" s="173" t="s">
        <v>275</v>
      </c>
      <c r="B7" s="173"/>
      <c r="C7" s="84"/>
      <c r="D7" s="84"/>
      <c r="E7" s="173" t="s">
        <v>276</v>
      </c>
      <c r="F7" s="355"/>
      <c r="G7" s="87"/>
      <c r="H7" s="87"/>
    </row>
    <row r="8" spans="1:8" ht="12">
      <c r="A8" s="356" t="s">
        <v>277</v>
      </c>
      <c r="B8" s="356"/>
      <c r="C8" s="357"/>
      <c r="D8" s="82"/>
      <c r="E8" s="356" t="s">
        <v>278</v>
      </c>
      <c r="F8" s="355"/>
      <c r="G8" s="87"/>
      <c r="H8" s="87"/>
    </row>
    <row r="9" spans="1:8" ht="12">
      <c r="A9" s="358" t="s">
        <v>279</v>
      </c>
      <c r="B9" s="359" t="s">
        <v>280</v>
      </c>
      <c r="C9" s="78">
        <v>87410</v>
      </c>
      <c r="D9" s="78">
        <v>86524</v>
      </c>
      <c r="E9" s="358" t="s">
        <v>281</v>
      </c>
      <c r="F9" s="360" t="s">
        <v>282</v>
      </c>
      <c r="G9" s="86">
        <v>257672</v>
      </c>
      <c r="H9" s="86">
        <v>247535</v>
      </c>
    </row>
    <row r="10" spans="1:8" ht="12">
      <c r="A10" s="358" t="s">
        <v>283</v>
      </c>
      <c r="B10" s="359" t="s">
        <v>284</v>
      </c>
      <c r="C10" s="78">
        <v>55128</v>
      </c>
      <c r="D10" s="78">
        <v>59336</v>
      </c>
      <c r="E10" s="358" t="s">
        <v>285</v>
      </c>
      <c r="F10" s="360" t="s">
        <v>286</v>
      </c>
      <c r="G10" s="86">
        <v>424462</v>
      </c>
      <c r="H10" s="86">
        <v>397196</v>
      </c>
    </row>
    <row r="11" spans="1:8" ht="12">
      <c r="A11" s="358" t="s">
        <v>287</v>
      </c>
      <c r="B11" s="359" t="s">
        <v>288</v>
      </c>
      <c r="C11" s="78">
        <v>19436</v>
      </c>
      <c r="D11" s="78">
        <v>19732</v>
      </c>
      <c r="E11" s="361" t="s">
        <v>289</v>
      </c>
      <c r="F11" s="360" t="s">
        <v>290</v>
      </c>
      <c r="G11" s="86">
        <v>3064</v>
      </c>
      <c r="H11" s="86">
        <v>1854</v>
      </c>
    </row>
    <row r="12" spans="1:8" ht="12">
      <c r="A12" s="358" t="s">
        <v>291</v>
      </c>
      <c r="B12" s="359" t="s">
        <v>292</v>
      </c>
      <c r="C12" s="78">
        <v>53392</v>
      </c>
      <c r="D12" s="78">
        <v>50296</v>
      </c>
      <c r="E12" s="361" t="s">
        <v>77</v>
      </c>
      <c r="F12" s="360" t="s">
        <v>293</v>
      </c>
      <c r="G12" s="86">
        <v>1032</v>
      </c>
      <c r="H12" s="86">
        <v>3386</v>
      </c>
    </row>
    <row r="13" spans="1:18" ht="12">
      <c r="A13" s="358" t="s">
        <v>294</v>
      </c>
      <c r="B13" s="359" t="s">
        <v>295</v>
      </c>
      <c r="C13" s="78">
        <v>13960</v>
      </c>
      <c r="D13" s="78">
        <v>14286</v>
      </c>
      <c r="E13" s="362" t="s">
        <v>50</v>
      </c>
      <c r="F13" s="363" t="s">
        <v>296</v>
      </c>
      <c r="G13" s="87">
        <f>SUM(G9:G12)</f>
        <v>686230</v>
      </c>
      <c r="H13" s="87">
        <f>SUM(H9:H12)</f>
        <v>649971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297</v>
      </c>
      <c r="B14" s="359" t="s">
        <v>298</v>
      </c>
      <c r="C14" s="78">
        <v>402542</v>
      </c>
      <c r="D14" s="78">
        <v>370991</v>
      </c>
      <c r="E14" s="361"/>
      <c r="F14" s="364"/>
      <c r="G14" s="385"/>
      <c r="H14" s="385"/>
    </row>
    <row r="15" spans="1:8" ht="24">
      <c r="A15" s="358" t="s">
        <v>299</v>
      </c>
      <c r="B15" s="359" t="s">
        <v>300</v>
      </c>
      <c r="C15" s="79">
        <v>-3582</v>
      </c>
      <c r="D15" s="79">
        <v>-10414</v>
      </c>
      <c r="E15" s="356" t="s">
        <v>301</v>
      </c>
      <c r="F15" s="365" t="s">
        <v>302</v>
      </c>
      <c r="G15" s="86">
        <v>517</v>
      </c>
      <c r="H15" s="86">
        <v>433</v>
      </c>
    </row>
    <row r="16" spans="1:8" ht="12">
      <c r="A16" s="358" t="s">
        <v>303</v>
      </c>
      <c r="B16" s="359" t="s">
        <v>304</v>
      </c>
      <c r="C16" s="79">
        <v>10199</v>
      </c>
      <c r="D16" s="79">
        <v>9839</v>
      </c>
      <c r="E16" s="358" t="s">
        <v>305</v>
      </c>
      <c r="F16" s="364" t="s">
        <v>306</v>
      </c>
      <c r="G16" s="88"/>
      <c r="H16" s="88"/>
    </row>
    <row r="17" spans="1:8" ht="12">
      <c r="A17" s="366" t="s">
        <v>307</v>
      </c>
      <c r="B17" s="359" t="s">
        <v>308</v>
      </c>
      <c r="C17" s="80">
        <v>1907</v>
      </c>
      <c r="D17" s="80">
        <v>2792</v>
      </c>
      <c r="E17" s="356"/>
      <c r="F17" s="355"/>
      <c r="G17" s="385"/>
      <c r="H17" s="385"/>
    </row>
    <row r="18" spans="1:8" ht="12">
      <c r="A18" s="366" t="s">
        <v>309</v>
      </c>
      <c r="B18" s="359" t="s">
        <v>310</v>
      </c>
      <c r="C18" s="80"/>
      <c r="D18" s="80"/>
      <c r="E18" s="356" t="s">
        <v>311</v>
      </c>
      <c r="F18" s="355"/>
      <c r="G18" s="385"/>
      <c r="H18" s="385"/>
    </row>
    <row r="19" spans="1:15" ht="12">
      <c r="A19" s="362" t="s">
        <v>50</v>
      </c>
      <c r="B19" s="367" t="s">
        <v>312</v>
      </c>
      <c r="C19" s="81">
        <f>SUM(C9:C15)+C16</f>
        <v>638485</v>
      </c>
      <c r="D19" s="81">
        <f>SUM(D9:D15)+D16</f>
        <v>600590</v>
      </c>
      <c r="E19" s="368" t="s">
        <v>313</v>
      </c>
      <c r="F19" s="364" t="s">
        <v>314</v>
      </c>
      <c r="G19" s="86">
        <v>5318</v>
      </c>
      <c r="H19" s="86">
        <v>6545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315</v>
      </c>
      <c r="F20" s="364" t="s">
        <v>316</v>
      </c>
      <c r="G20" s="86">
        <v>194</v>
      </c>
      <c r="H20" s="86">
        <v>80</v>
      </c>
    </row>
    <row r="21" spans="1:8" ht="24">
      <c r="A21" s="356" t="s">
        <v>317</v>
      </c>
      <c r="B21" s="370"/>
      <c r="C21" s="384"/>
      <c r="D21" s="384"/>
      <c r="E21" s="358" t="s">
        <v>318</v>
      </c>
      <c r="F21" s="364" t="s">
        <v>319</v>
      </c>
      <c r="G21" s="86"/>
      <c r="H21" s="86"/>
    </row>
    <row r="22" spans="1:8" ht="24">
      <c r="A22" s="355" t="s">
        <v>320</v>
      </c>
      <c r="B22" s="370" t="s">
        <v>321</v>
      </c>
      <c r="C22" s="78">
        <v>7210</v>
      </c>
      <c r="D22" s="78">
        <v>8554</v>
      </c>
      <c r="E22" s="368" t="s">
        <v>322</v>
      </c>
      <c r="F22" s="364" t="s">
        <v>323</v>
      </c>
      <c r="G22" s="86">
        <v>380</v>
      </c>
      <c r="H22" s="86">
        <v>388</v>
      </c>
    </row>
    <row r="23" spans="1:8" ht="24">
      <c r="A23" s="358" t="s">
        <v>324</v>
      </c>
      <c r="B23" s="370" t="s">
        <v>325</v>
      </c>
      <c r="C23" s="78">
        <v>15</v>
      </c>
      <c r="D23" s="78">
        <v>95</v>
      </c>
      <c r="E23" s="358" t="s">
        <v>326</v>
      </c>
      <c r="F23" s="364" t="s">
        <v>327</v>
      </c>
      <c r="G23" s="86">
        <v>1308</v>
      </c>
      <c r="H23" s="86">
        <v>4126</v>
      </c>
    </row>
    <row r="24" spans="1:18" ht="12">
      <c r="A24" s="358" t="s">
        <v>328</v>
      </c>
      <c r="B24" s="370" t="s">
        <v>329</v>
      </c>
      <c r="C24" s="78"/>
      <c r="D24" s="78">
        <v>3789</v>
      </c>
      <c r="E24" s="362" t="s">
        <v>102</v>
      </c>
      <c r="F24" s="365" t="s">
        <v>330</v>
      </c>
      <c r="G24" s="87">
        <f>SUM(G19:G23)</f>
        <v>7200</v>
      </c>
      <c r="H24" s="87">
        <f>SUM(H19:H23)</f>
        <v>11139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77</v>
      </c>
      <c r="B25" s="370" t="s">
        <v>331</v>
      </c>
      <c r="C25" s="78">
        <v>7218</v>
      </c>
      <c r="D25" s="78">
        <v>3153</v>
      </c>
      <c r="E25" s="369"/>
      <c r="F25" s="355"/>
      <c r="G25" s="385"/>
      <c r="H25" s="385"/>
    </row>
    <row r="26" spans="1:14" ht="12">
      <c r="A26" s="362" t="s">
        <v>75</v>
      </c>
      <c r="B26" s="371" t="s">
        <v>332</v>
      </c>
      <c r="C26" s="81">
        <f>SUM(C22:C25)</f>
        <v>14443</v>
      </c>
      <c r="D26" s="81">
        <f>SUM(D22:D25)</f>
        <v>15591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333</v>
      </c>
      <c r="B28" s="352" t="s">
        <v>334</v>
      </c>
      <c r="C28" s="82">
        <f>C26+C19</f>
        <v>652928</v>
      </c>
      <c r="D28" s="82">
        <f>D26+D19</f>
        <v>616181</v>
      </c>
      <c r="E28" s="173" t="s">
        <v>335</v>
      </c>
      <c r="F28" s="365" t="s">
        <v>336</v>
      </c>
      <c r="G28" s="87">
        <f>G13+G15+G24</f>
        <v>693947</v>
      </c>
      <c r="H28" s="87">
        <f>H13+H15+H24</f>
        <v>661543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337</v>
      </c>
      <c r="B30" s="352" t="s">
        <v>338</v>
      </c>
      <c r="C30" s="82">
        <f>IF((G28-C28)&gt;0,G28-C28,0)</f>
        <v>41019</v>
      </c>
      <c r="D30" s="82">
        <f>IF((H28-D28)&gt;0,H28-D28,0)</f>
        <v>45362</v>
      </c>
      <c r="E30" s="173" t="s">
        <v>339</v>
      </c>
      <c r="F30" s="365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839</v>
      </c>
      <c r="B31" s="371" t="s">
        <v>341</v>
      </c>
      <c r="C31" s="78"/>
      <c r="D31" s="78"/>
      <c r="E31" s="356" t="s">
        <v>842</v>
      </c>
      <c r="F31" s="364" t="s">
        <v>342</v>
      </c>
      <c r="G31" s="86">
        <v>131</v>
      </c>
      <c r="H31" s="86">
        <v>406</v>
      </c>
    </row>
    <row r="32" spans="1:8" ht="12">
      <c r="A32" s="356" t="s">
        <v>343</v>
      </c>
      <c r="B32" s="373" t="s">
        <v>344</v>
      </c>
      <c r="C32" s="78"/>
      <c r="D32" s="78"/>
      <c r="E32" s="356" t="s">
        <v>345</v>
      </c>
      <c r="F32" s="364" t="s">
        <v>346</v>
      </c>
      <c r="G32" s="86"/>
      <c r="H32" s="86"/>
    </row>
    <row r="33" spans="1:18" ht="12">
      <c r="A33" s="374" t="s">
        <v>347</v>
      </c>
      <c r="B33" s="371" t="s">
        <v>348</v>
      </c>
      <c r="C33" s="81">
        <f>C28-C31+C32</f>
        <v>652928</v>
      </c>
      <c r="D33" s="81">
        <f>D28-D31+D32</f>
        <v>616181</v>
      </c>
      <c r="E33" s="173" t="s">
        <v>349</v>
      </c>
      <c r="F33" s="365" t="s">
        <v>350</v>
      </c>
      <c r="G33" s="89">
        <f>G32-G31+G28</f>
        <v>693816</v>
      </c>
      <c r="H33" s="89">
        <f>H32-H31+H28</f>
        <v>661137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351</v>
      </c>
      <c r="B34" s="352" t="s">
        <v>352</v>
      </c>
      <c r="C34" s="82">
        <f>IF((G33-C33)&gt;0,G33-C33,0)</f>
        <v>40888</v>
      </c>
      <c r="D34" s="82">
        <f>IF((H33-D33)&gt;0,H33-D33,0)</f>
        <v>44956</v>
      </c>
      <c r="E34" s="374" t="s">
        <v>353</v>
      </c>
      <c r="F34" s="365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355</v>
      </c>
      <c r="B35" s="371" t="s">
        <v>356</v>
      </c>
      <c r="C35" s="81">
        <f>C36+C37+C38</f>
        <v>5070</v>
      </c>
      <c r="D35" s="81">
        <f>D36+D37+D38</f>
        <v>4620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357</v>
      </c>
      <c r="B36" s="370" t="s">
        <v>358</v>
      </c>
      <c r="C36" s="78">
        <v>5070</v>
      </c>
      <c r="D36" s="78">
        <v>4620</v>
      </c>
      <c r="E36" s="375"/>
      <c r="F36" s="355"/>
      <c r="G36" s="385"/>
      <c r="H36" s="385"/>
    </row>
    <row r="37" spans="1:8" ht="24">
      <c r="A37" s="376" t="s">
        <v>359</v>
      </c>
      <c r="B37" s="377" t="s">
        <v>360</v>
      </c>
      <c r="C37" s="520"/>
      <c r="D37" s="520"/>
      <c r="E37" s="375"/>
      <c r="F37" s="378"/>
      <c r="G37" s="385"/>
      <c r="H37" s="385"/>
    </row>
    <row r="38" spans="1:8" ht="12">
      <c r="A38" s="379" t="s">
        <v>361</v>
      </c>
      <c r="B38" s="377" t="s">
        <v>362</v>
      </c>
      <c r="C38" s="172"/>
      <c r="D38" s="172"/>
      <c r="E38" s="375"/>
      <c r="F38" s="378"/>
      <c r="G38" s="385"/>
      <c r="H38" s="385"/>
    </row>
    <row r="39" spans="1:18" ht="24">
      <c r="A39" s="380" t="s">
        <v>363</v>
      </c>
      <c r="B39" s="177" t="s">
        <v>364</v>
      </c>
      <c r="C39" s="551">
        <f>+IF((G33-C33-C35)&gt;0,G33-C33-C35,0)</f>
        <v>35818</v>
      </c>
      <c r="D39" s="551">
        <f>+IF((H33-D33-D35)&gt;0,H33-D33-D35,0)</f>
        <v>40336</v>
      </c>
      <c r="E39" s="381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367</v>
      </c>
      <c r="B40" s="354" t="s">
        <v>368</v>
      </c>
      <c r="C40" s="83">
        <v>1761</v>
      </c>
      <c r="D40" s="83">
        <v>1932</v>
      </c>
      <c r="E40" s="173" t="s">
        <v>367</v>
      </c>
      <c r="F40" s="174" t="s">
        <v>369</v>
      </c>
      <c r="G40" s="86"/>
      <c r="H40" s="86"/>
    </row>
    <row r="41" spans="1:18" ht="12">
      <c r="A41" s="173" t="s">
        <v>370</v>
      </c>
      <c r="B41" s="351" t="s">
        <v>371</v>
      </c>
      <c r="C41" s="84">
        <f>IF(G39=0,IF(C39-C40&gt;0,C39-C40+G40,0),IF(G39-G40&lt;0,G40-G39+C39,0))</f>
        <v>34057</v>
      </c>
      <c r="D41" s="84">
        <f>IF(H39=0,IF(D39-D40&gt;0,D39-D40+H40,0),IF(H39-H40&lt;0,H40-H39+D39,0))</f>
        <v>38404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374</v>
      </c>
      <c r="B42" s="351" t="s">
        <v>375</v>
      </c>
      <c r="C42" s="85">
        <f>C33+C35+C39</f>
        <v>693816</v>
      </c>
      <c r="D42" s="85">
        <f>D33+D35+D39</f>
        <v>661137</v>
      </c>
      <c r="E42" s="176" t="s">
        <v>376</v>
      </c>
      <c r="F42" s="177" t="s">
        <v>377</v>
      </c>
      <c r="G42" s="89">
        <f>G39+G33</f>
        <v>693816</v>
      </c>
      <c r="H42" s="89">
        <f>H39+H33</f>
        <v>661137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10"/>
      <c r="C43" s="511"/>
      <c r="D43" s="511"/>
      <c r="E43" s="512"/>
      <c r="F43" s="513"/>
      <c r="G43" s="514"/>
      <c r="H43" s="514"/>
    </row>
    <row r="44" spans="1:15" ht="12">
      <c r="A44" s="383" t="s">
        <v>378</v>
      </c>
      <c r="B44" s="580">
        <v>41333</v>
      </c>
      <c r="C44" s="515" t="s">
        <v>810</v>
      </c>
      <c r="D44" s="590"/>
      <c r="E44" s="590"/>
      <c r="F44" s="590"/>
      <c r="G44" s="590"/>
      <c r="H44" s="590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18"/>
      <c r="C45" s="514"/>
      <c r="D45" s="514" t="s">
        <v>852</v>
      </c>
      <c r="E45" s="513"/>
      <c r="F45" s="513"/>
      <c r="G45" s="517"/>
      <c r="H45" s="517"/>
    </row>
    <row r="46" spans="1:8" ht="12.75" customHeight="1">
      <c r="A46" s="31"/>
      <c r="B46" s="518"/>
      <c r="C46" s="516" t="s">
        <v>773</v>
      </c>
      <c r="D46" s="591"/>
      <c r="E46" s="591"/>
      <c r="F46" s="591"/>
      <c r="G46" s="591"/>
      <c r="H46" s="591"/>
    </row>
    <row r="47" spans="1:8" ht="12">
      <c r="A47" s="29"/>
      <c r="B47" s="513"/>
      <c r="C47" s="514"/>
      <c r="D47" s="514" t="s">
        <v>853</v>
      </c>
      <c r="E47" s="513"/>
      <c r="F47" s="513"/>
      <c r="G47" s="517"/>
      <c r="H47" s="517"/>
    </row>
    <row r="48" spans="1:8" ht="12">
      <c r="A48" s="29"/>
      <c r="B48" s="513"/>
      <c r="C48" s="514"/>
      <c r="D48" s="514"/>
      <c r="E48" s="513"/>
      <c r="F48" s="513"/>
      <c r="G48" s="517"/>
      <c r="H48" s="517"/>
    </row>
    <row r="49" spans="1:8" ht="12">
      <c r="A49" s="29"/>
      <c r="B49" s="513"/>
      <c r="C49" s="514"/>
      <c r="D49" s="514"/>
      <c r="E49" s="513"/>
      <c r="F49" s="513"/>
      <c r="G49" s="517"/>
      <c r="H49" s="517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37" header="0.5118110236220472" footer="0.16"/>
  <pageSetup fitToHeight="1" fitToWidth="1"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4">
      <selection activeCell="A51" sqref="A51"/>
    </sheetView>
  </sheetViews>
  <sheetFormatPr defaultColWidth="9.00390625" defaultRowHeight="12.75"/>
  <cols>
    <col min="1" max="1" width="53.875" style="0" customWidth="1"/>
    <col min="2" max="2" width="12.00390625" style="0" customWidth="1"/>
    <col min="3" max="3" width="16.75390625" style="0" customWidth="1"/>
    <col min="4" max="4" width="15.75390625" style="0" customWidth="1"/>
  </cols>
  <sheetData>
    <row r="1" spans="1:2" ht="12.75">
      <c r="A1" s="390" t="s">
        <v>891</v>
      </c>
      <c r="B1" s="390" t="s">
        <v>865</v>
      </c>
    </row>
    <row r="2" spans="1:2" ht="12.75">
      <c r="A2" s="390"/>
      <c r="B2" s="390"/>
    </row>
    <row r="3" spans="1:2" ht="12.75">
      <c r="A3" s="390"/>
      <c r="B3" s="390"/>
    </row>
    <row r="4" spans="1:4" ht="15">
      <c r="A4" s="263" t="s">
        <v>866</v>
      </c>
      <c r="B4" s="584"/>
      <c r="C4" s="268" t="s">
        <v>1</v>
      </c>
      <c r="D4" s="268">
        <v>831902008</v>
      </c>
    </row>
    <row r="5" spans="1:4" ht="15">
      <c r="A5" s="199" t="s">
        <v>878</v>
      </c>
      <c r="B5" s="585"/>
      <c r="C5" s="219" t="s">
        <v>3</v>
      </c>
      <c r="D5" s="219">
        <v>684</v>
      </c>
    </row>
    <row r="6" spans="1:4" ht="15">
      <c r="A6" s="199" t="s">
        <v>901</v>
      </c>
      <c r="B6" s="586"/>
      <c r="C6" s="219"/>
      <c r="D6" s="220"/>
    </row>
    <row r="7" ht="14.25">
      <c r="D7" s="270" t="s">
        <v>5</v>
      </c>
    </row>
    <row r="8" spans="1:4" ht="23.25" customHeight="1">
      <c r="A8" s="391" t="s">
        <v>380</v>
      </c>
      <c r="B8" s="391" t="s">
        <v>7</v>
      </c>
      <c r="C8" s="392" t="s">
        <v>8</v>
      </c>
      <c r="D8" s="392" t="s">
        <v>12</v>
      </c>
    </row>
    <row r="9" spans="1:4" ht="12.75">
      <c r="A9" s="391" t="s">
        <v>13</v>
      </c>
      <c r="B9" s="391" t="s">
        <v>14</v>
      </c>
      <c r="C9" s="393">
        <v>1</v>
      </c>
      <c r="D9" s="393">
        <v>2</v>
      </c>
    </row>
    <row r="10" spans="1:4" ht="12.75">
      <c r="A10" s="394" t="s">
        <v>381</v>
      </c>
      <c r="B10" s="395"/>
      <c r="C10" s="92"/>
      <c r="D10" s="92"/>
    </row>
    <row r="11" spans="1:4" ht="12.75">
      <c r="A11" s="396" t="s">
        <v>382</v>
      </c>
      <c r="B11" s="397" t="s">
        <v>383</v>
      </c>
      <c r="C11" s="91">
        <v>755838</v>
      </c>
      <c r="D11" s="91">
        <v>745198</v>
      </c>
    </row>
    <row r="12" spans="1:4" ht="12.75">
      <c r="A12" s="396" t="s">
        <v>384</v>
      </c>
      <c r="B12" s="397" t="s">
        <v>385</v>
      </c>
      <c r="C12" s="91">
        <v>-642328</v>
      </c>
      <c r="D12" s="91">
        <v>-582449</v>
      </c>
    </row>
    <row r="13" spans="1:4" ht="24">
      <c r="A13" s="396" t="s">
        <v>386</v>
      </c>
      <c r="B13" s="397" t="s">
        <v>387</v>
      </c>
      <c r="C13" s="91">
        <v>0</v>
      </c>
      <c r="D13" s="91"/>
    </row>
    <row r="14" spans="1:4" ht="12.75">
      <c r="A14" s="396" t="s">
        <v>388</v>
      </c>
      <c r="B14" s="397" t="s">
        <v>389</v>
      </c>
      <c r="C14" s="91">
        <v>-63718</v>
      </c>
      <c r="D14" s="91">
        <v>-60996</v>
      </c>
    </row>
    <row r="15" spans="1:4" ht="24">
      <c r="A15" s="396" t="s">
        <v>390</v>
      </c>
      <c r="B15" s="397" t="s">
        <v>391</v>
      </c>
      <c r="C15" s="91">
        <v>-30030</v>
      </c>
      <c r="D15" s="91">
        <v>-32159</v>
      </c>
    </row>
    <row r="16" spans="1:4" ht="12.75">
      <c r="A16" s="398" t="s">
        <v>392</v>
      </c>
      <c r="B16" s="397" t="s">
        <v>393</v>
      </c>
      <c r="C16" s="91">
        <v>-7840</v>
      </c>
      <c r="D16" s="91">
        <v>-7190</v>
      </c>
    </row>
    <row r="17" spans="1:4" ht="12.75">
      <c r="A17" s="396" t="s">
        <v>394</v>
      </c>
      <c r="B17" s="397" t="s">
        <v>395</v>
      </c>
      <c r="C17" s="91">
        <v>0</v>
      </c>
      <c r="D17" s="91"/>
    </row>
    <row r="18" spans="1:4" ht="24">
      <c r="A18" s="396" t="s">
        <v>396</v>
      </c>
      <c r="B18" s="397" t="s">
        <v>397</v>
      </c>
      <c r="C18" s="91">
        <v>-7607</v>
      </c>
      <c r="D18" s="91">
        <v>-8473</v>
      </c>
    </row>
    <row r="19" spans="1:4" ht="12.75">
      <c r="A19" s="398" t="s">
        <v>398</v>
      </c>
      <c r="B19" s="399" t="s">
        <v>399</v>
      </c>
      <c r="C19" s="91">
        <v>-966</v>
      </c>
      <c r="D19" s="91">
        <v>-198</v>
      </c>
    </row>
    <row r="20" spans="1:4" ht="12.75">
      <c r="A20" s="396" t="s">
        <v>400</v>
      </c>
      <c r="B20" s="397" t="s">
        <v>401</v>
      </c>
      <c r="C20" s="91">
        <v>-2728</v>
      </c>
      <c r="D20" s="91">
        <v>-1356</v>
      </c>
    </row>
    <row r="21" spans="1:4" ht="12.75">
      <c r="A21" s="400" t="s">
        <v>402</v>
      </c>
      <c r="B21" s="401" t="s">
        <v>403</v>
      </c>
      <c r="C21" s="92">
        <f>SUM(C11:C20)</f>
        <v>621</v>
      </c>
      <c r="D21" s="92">
        <f>SUM(D11:D20)</f>
        <v>52377</v>
      </c>
    </row>
    <row r="22" spans="1:4" ht="12.75">
      <c r="A22" s="394" t="s">
        <v>404</v>
      </c>
      <c r="B22" s="402"/>
      <c r="C22" s="403"/>
      <c r="D22" s="403"/>
    </row>
    <row r="23" spans="1:4" ht="12.75">
      <c r="A23" s="396" t="s">
        <v>405</v>
      </c>
      <c r="B23" s="397" t="s">
        <v>406</v>
      </c>
      <c r="C23" s="91">
        <v>-59712</v>
      </c>
      <c r="D23" s="91">
        <v>-40966</v>
      </c>
    </row>
    <row r="24" spans="1:4" ht="12.75">
      <c r="A24" s="396" t="s">
        <v>407</v>
      </c>
      <c r="B24" s="397" t="s">
        <v>408</v>
      </c>
      <c r="C24" s="91">
        <v>260</v>
      </c>
      <c r="D24" s="91">
        <v>520</v>
      </c>
    </row>
    <row r="25" spans="1:4" ht="12.75">
      <c r="A25" s="396" t="s">
        <v>409</v>
      </c>
      <c r="B25" s="397" t="s">
        <v>410</v>
      </c>
      <c r="C25" s="91">
        <v>-18611</v>
      </c>
      <c r="D25" s="91">
        <v>-82141</v>
      </c>
    </row>
    <row r="26" spans="1:4" ht="24">
      <c r="A26" s="396" t="s">
        <v>411</v>
      </c>
      <c r="B26" s="397" t="s">
        <v>412</v>
      </c>
      <c r="C26" s="91">
        <v>20201</v>
      </c>
      <c r="D26" s="91">
        <v>63081</v>
      </c>
    </row>
    <row r="27" spans="1:4" ht="12.75">
      <c r="A27" s="396" t="s">
        <v>413</v>
      </c>
      <c r="B27" s="397" t="s">
        <v>414</v>
      </c>
      <c r="C27" s="91">
        <v>4837</v>
      </c>
      <c r="D27" s="91">
        <v>3958</v>
      </c>
    </row>
    <row r="28" spans="1:4" ht="12.75">
      <c r="A28" s="396" t="s">
        <v>415</v>
      </c>
      <c r="B28" s="397" t="s">
        <v>416</v>
      </c>
      <c r="C28" s="91">
        <v>-4664</v>
      </c>
      <c r="D28" s="91">
        <v>-10045</v>
      </c>
    </row>
    <row r="29" spans="1:4" ht="12.75">
      <c r="A29" s="396" t="s">
        <v>417</v>
      </c>
      <c r="B29" s="397" t="s">
        <v>418</v>
      </c>
      <c r="C29" s="91">
        <v>1372</v>
      </c>
      <c r="D29" s="91">
        <v>804</v>
      </c>
    </row>
    <row r="30" spans="1:4" ht="12.75">
      <c r="A30" s="396" t="s">
        <v>419</v>
      </c>
      <c r="B30" s="397" t="s">
        <v>420</v>
      </c>
      <c r="C30" s="91">
        <v>720</v>
      </c>
      <c r="D30" s="91">
        <v>80</v>
      </c>
    </row>
    <row r="31" spans="1:4" ht="12.75">
      <c r="A31" s="396" t="s">
        <v>398</v>
      </c>
      <c r="B31" s="397" t="s">
        <v>421</v>
      </c>
      <c r="C31" s="91">
        <v>0</v>
      </c>
      <c r="D31" s="91"/>
    </row>
    <row r="32" spans="1:4" ht="12.75">
      <c r="A32" s="396" t="s">
        <v>422</v>
      </c>
      <c r="B32" s="397" t="s">
        <v>423</v>
      </c>
      <c r="C32" s="91"/>
      <c r="D32" s="91">
        <v>203</v>
      </c>
    </row>
    <row r="33" spans="1:4" ht="12.75">
      <c r="A33" s="400" t="s">
        <v>424</v>
      </c>
      <c r="B33" s="401" t="s">
        <v>425</v>
      </c>
      <c r="C33" s="92">
        <f>SUM(C23:C32)</f>
        <v>-55597</v>
      </c>
      <c r="D33" s="92">
        <f>SUM(D23:D32)</f>
        <v>-64506</v>
      </c>
    </row>
    <row r="34" spans="1:4" ht="12.75">
      <c r="A34" s="394" t="s">
        <v>426</v>
      </c>
      <c r="B34" s="402"/>
      <c r="C34" s="403"/>
      <c r="D34" s="403"/>
    </row>
    <row r="35" spans="1:4" ht="12.75">
      <c r="A35" s="396" t="s">
        <v>427</v>
      </c>
      <c r="B35" s="397" t="s">
        <v>428</v>
      </c>
      <c r="C35" s="91"/>
      <c r="D35" s="91"/>
    </row>
    <row r="36" spans="1:4" ht="12.75">
      <c r="A36" s="398" t="s">
        <v>429</v>
      </c>
      <c r="B36" s="397" t="s">
        <v>430</v>
      </c>
      <c r="C36" s="91">
        <v>-2123</v>
      </c>
      <c r="D36" s="91">
        <v>-6740</v>
      </c>
    </row>
    <row r="37" spans="1:4" ht="12.75">
      <c r="A37" s="396" t="s">
        <v>431</v>
      </c>
      <c r="B37" s="397" t="s">
        <v>432</v>
      </c>
      <c r="C37" s="91">
        <v>1893521</v>
      </c>
      <c r="D37" s="91">
        <v>236690</v>
      </c>
    </row>
    <row r="38" spans="1:4" ht="12.75">
      <c r="A38" s="396" t="s">
        <v>433</v>
      </c>
      <c r="B38" s="397" t="s">
        <v>434</v>
      </c>
      <c r="C38" s="91">
        <v>-1841720</v>
      </c>
      <c r="D38" s="91">
        <v>-215513</v>
      </c>
    </row>
    <row r="39" spans="1:4" ht="12.75">
      <c r="A39" s="396" t="s">
        <v>435</v>
      </c>
      <c r="B39" s="397" t="s">
        <v>436</v>
      </c>
      <c r="C39" s="91">
        <v>-937</v>
      </c>
      <c r="D39" s="91">
        <v>-1133</v>
      </c>
    </row>
    <row r="40" spans="1:4" ht="24">
      <c r="A40" s="396" t="s">
        <v>437</v>
      </c>
      <c r="B40" s="397" t="s">
        <v>438</v>
      </c>
      <c r="C40" s="91">
        <v>-1807</v>
      </c>
      <c r="D40" s="91">
        <v>-1239</v>
      </c>
    </row>
    <row r="41" spans="1:4" ht="12.75">
      <c r="A41" s="396" t="s">
        <v>439</v>
      </c>
      <c r="B41" s="397" t="s">
        <v>440</v>
      </c>
      <c r="C41" s="91">
        <v>-10834</v>
      </c>
      <c r="D41" s="91">
        <v>-12814</v>
      </c>
    </row>
    <row r="42" spans="1:4" ht="12.75">
      <c r="A42" s="396" t="s">
        <v>441</v>
      </c>
      <c r="B42" s="397" t="s">
        <v>442</v>
      </c>
      <c r="C42" s="91">
        <v>1271</v>
      </c>
      <c r="D42" s="91">
        <v>44</v>
      </c>
    </row>
    <row r="43" spans="1:4" ht="12.75">
      <c r="A43" s="400" t="s">
        <v>443</v>
      </c>
      <c r="B43" s="401" t="s">
        <v>444</v>
      </c>
      <c r="C43" s="92">
        <f>SUM(C35:C42)</f>
        <v>37371</v>
      </c>
      <c r="D43" s="92">
        <f>SUM(D35:D42)</f>
        <v>-705</v>
      </c>
    </row>
    <row r="44" spans="1:4" ht="12.75">
      <c r="A44" s="404" t="s">
        <v>445</v>
      </c>
      <c r="B44" s="401" t="s">
        <v>446</v>
      </c>
      <c r="C44" s="92">
        <f>C43+C33+C21</f>
        <v>-17605</v>
      </c>
      <c r="D44" s="92">
        <f>D43+D33+D21</f>
        <v>-12834</v>
      </c>
    </row>
    <row r="45" spans="1:4" ht="12.75">
      <c r="A45" s="394" t="s">
        <v>447</v>
      </c>
      <c r="B45" s="402" t="s">
        <v>448</v>
      </c>
      <c r="C45" s="181">
        <v>32235</v>
      </c>
      <c r="D45" s="181">
        <v>45069</v>
      </c>
    </row>
    <row r="46" spans="1:4" ht="12.75">
      <c r="A46" s="394" t="s">
        <v>449</v>
      </c>
      <c r="B46" s="402" t="s">
        <v>450</v>
      </c>
      <c r="C46" s="92">
        <f>C45+C44</f>
        <v>14630</v>
      </c>
      <c r="D46" s="92">
        <f>D45+D44</f>
        <v>32235</v>
      </c>
    </row>
    <row r="47" spans="1:4" ht="12.75">
      <c r="A47" s="396" t="s">
        <v>451</v>
      </c>
      <c r="B47" s="402" t="s">
        <v>452</v>
      </c>
      <c r="C47" s="93">
        <v>12531</v>
      </c>
      <c r="D47" s="93">
        <v>19046</v>
      </c>
    </row>
    <row r="48" spans="1:4" ht="12.75">
      <c r="A48" s="396" t="s">
        <v>453</v>
      </c>
      <c r="B48" s="402" t="s">
        <v>454</v>
      </c>
      <c r="C48" s="93">
        <f>C46-C47</f>
        <v>2099</v>
      </c>
      <c r="D48" s="93">
        <v>13189</v>
      </c>
    </row>
    <row r="49" spans="1:4" ht="12.75">
      <c r="A49" s="180"/>
      <c r="B49" s="405"/>
      <c r="C49" s="406"/>
      <c r="D49" s="406"/>
    </row>
    <row r="50" spans="1:4" ht="12.75">
      <c r="A50" s="525" t="s">
        <v>902</v>
      </c>
      <c r="B50" s="526"/>
      <c r="C50" s="526" t="s">
        <v>848</v>
      </c>
      <c r="D50" s="527"/>
    </row>
    <row r="51" spans="1:4" ht="12.75">
      <c r="A51" s="525"/>
      <c r="B51" s="526"/>
      <c r="C51" s="526" t="s">
        <v>849</v>
      </c>
      <c r="D51" s="527"/>
    </row>
    <row r="52" spans="1:4" ht="12.75">
      <c r="A52" s="388"/>
      <c r="B52" s="526"/>
      <c r="C52" s="593"/>
      <c r="D52" s="593"/>
    </row>
    <row r="53" spans="1:4" ht="12.75">
      <c r="A53" s="388"/>
      <c r="B53" s="388"/>
      <c r="C53" s="389"/>
      <c r="D53" s="389"/>
    </row>
    <row r="54" spans="1:4" ht="12.75">
      <c r="A54" s="388"/>
      <c r="B54" s="526"/>
      <c r="C54" s="593"/>
      <c r="D54" s="593"/>
    </row>
  </sheetData>
  <sheetProtection/>
  <mergeCells count="2">
    <mergeCell ref="C52:D52"/>
    <mergeCell ref="C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/>
  <pageMargins left="0.53" right="0.25" top="1" bottom="1" header="0.57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4" t="s">
        <v>455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55"/>
      <c r="C3" s="596" t="str">
        <f>'справка №1-БАЛАНС'!E3</f>
        <v>СОФАРМА АД</v>
      </c>
      <c r="D3" s="597"/>
      <c r="E3" s="597"/>
      <c r="F3" s="597"/>
      <c r="G3" s="597"/>
      <c r="H3" s="555"/>
      <c r="I3" s="555"/>
      <c r="J3" s="2"/>
      <c r="K3" s="554" t="s">
        <v>1</v>
      </c>
      <c r="L3" s="554"/>
      <c r="M3" s="573">
        <f>'справка №1-БАЛАНС'!H3</f>
        <v>831902088</v>
      </c>
      <c r="N3" s="3"/>
    </row>
    <row r="4" spans="1:15" s="5" customFormat="1" ht="13.5" customHeight="1">
      <c r="A4" s="6" t="s">
        <v>456</v>
      </c>
      <c r="B4" s="555"/>
      <c r="C4" s="596" t="str">
        <f>'справка №1-БАЛАНС'!E4</f>
        <v>ПРЕДВАРИТЕЛЕН КОНСОЛИДИРАН </v>
      </c>
      <c r="D4" s="596"/>
      <c r="E4" s="598"/>
      <c r="F4" s="596"/>
      <c r="G4" s="596"/>
      <c r="H4" s="516"/>
      <c r="I4" s="516"/>
      <c r="J4" s="575"/>
      <c r="K4" s="563" t="s">
        <v>3</v>
      </c>
      <c r="L4" s="563"/>
      <c r="M4" s="574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3"/>
      <c r="C5" s="596" t="str">
        <f>'справка №1-БАЛАНС'!E5</f>
        <v>01.01.-31.12.2012</v>
      </c>
      <c r="D5" s="597"/>
      <c r="E5" s="597"/>
      <c r="F5" s="597"/>
      <c r="G5" s="597"/>
      <c r="H5" s="555"/>
      <c r="I5" s="555"/>
      <c r="J5" s="185"/>
      <c r="K5" s="9"/>
      <c r="L5" s="10"/>
      <c r="M5" s="11" t="s">
        <v>5</v>
      </c>
      <c r="N5" s="10"/>
    </row>
    <row r="6" spans="1:14" s="15" customFormat="1" ht="21.75" customHeight="1">
      <c r="A6" s="256"/>
      <c r="B6" s="260"/>
      <c r="C6" s="227"/>
      <c r="D6" s="259" t="s">
        <v>457</v>
      </c>
      <c r="E6" s="228"/>
      <c r="F6" s="228"/>
      <c r="G6" s="228"/>
      <c r="H6" s="228"/>
      <c r="I6" s="228" t="s">
        <v>458</v>
      </c>
      <c r="J6" s="249"/>
      <c r="K6" s="235"/>
      <c r="L6" s="226"/>
      <c r="M6" s="229"/>
      <c r="N6" s="184"/>
    </row>
    <row r="7" spans="1:14" s="15" customFormat="1" ht="60">
      <c r="A7" s="257" t="s">
        <v>459</v>
      </c>
      <c r="B7" s="261" t="s">
        <v>460</v>
      </c>
      <c r="C7" s="227" t="s">
        <v>461</v>
      </c>
      <c r="D7" s="258" t="s">
        <v>462</v>
      </c>
      <c r="E7" s="226" t="s">
        <v>463</v>
      </c>
      <c r="F7" s="13" t="s">
        <v>464</v>
      </c>
      <c r="G7" s="13"/>
      <c r="H7" s="13"/>
      <c r="I7" s="226" t="s">
        <v>465</v>
      </c>
      <c r="J7" s="250" t="s">
        <v>466</v>
      </c>
      <c r="K7" s="227" t="s">
        <v>467</v>
      </c>
      <c r="L7" s="227" t="s">
        <v>468</v>
      </c>
      <c r="M7" s="255" t="s">
        <v>469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470</v>
      </c>
      <c r="G8" s="12" t="s">
        <v>471</v>
      </c>
      <c r="H8" s="12" t="s">
        <v>472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13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473</v>
      </c>
      <c r="B10" s="34"/>
      <c r="C10" s="94" t="s">
        <v>46</v>
      </c>
      <c r="D10" s="94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4" t="s">
        <v>476</v>
      </c>
      <c r="C11" s="95">
        <f>'справка №1-БАЛАНС'!H17</f>
        <v>120537</v>
      </c>
      <c r="D11" s="95">
        <f>'справка №1-БАЛАНС'!H19</f>
        <v>0</v>
      </c>
      <c r="E11" s="95">
        <f>'справка №1-БАЛАНС'!H20</f>
        <v>23142</v>
      </c>
      <c r="F11" s="95">
        <f>'справка №1-БАЛАНС'!H22</f>
        <v>21855</v>
      </c>
      <c r="G11" s="95">
        <f>'справка №1-БАЛАНС'!H23</f>
        <v>0</v>
      </c>
      <c r="H11" s="97">
        <v>116061</v>
      </c>
      <c r="I11" s="95">
        <f>'справка №1-БАЛАНС'!H28+'справка №1-БАЛАНС'!H31</f>
        <v>38404</v>
      </c>
      <c r="J11" s="95">
        <f>'справка №1-БАЛАНС'!H29+'справка №1-БАЛАНС'!H32</f>
        <v>0</v>
      </c>
      <c r="K11" s="97"/>
      <c r="L11" s="407">
        <f>SUM(C11:K11)</f>
        <v>319999</v>
      </c>
      <c r="M11" s="95">
        <f>'справка №1-БАЛАНС'!H39</f>
        <v>45813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477</v>
      </c>
      <c r="B12" s="34" t="s">
        <v>478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479</v>
      </c>
      <c r="B13" s="16" t="s">
        <v>480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14" ht="12" customHeight="1">
      <c r="A14" s="21" t="s">
        <v>481</v>
      </c>
      <c r="B14" s="16" t="s">
        <v>482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483</v>
      </c>
      <c r="B15" s="34" t="s">
        <v>484</v>
      </c>
      <c r="C15" s="98">
        <f>C11+C12</f>
        <v>120537</v>
      </c>
      <c r="D15" s="98">
        <f aca="true" t="shared" si="2" ref="D15:M15">D11+D12</f>
        <v>0</v>
      </c>
      <c r="E15" s="98">
        <f t="shared" si="2"/>
        <v>23142</v>
      </c>
      <c r="F15" s="98">
        <f t="shared" si="2"/>
        <v>21855</v>
      </c>
      <c r="G15" s="98">
        <f t="shared" si="2"/>
        <v>0</v>
      </c>
      <c r="H15" s="98">
        <f t="shared" si="2"/>
        <v>116061</v>
      </c>
      <c r="I15" s="98">
        <f t="shared" si="2"/>
        <v>38404</v>
      </c>
      <c r="J15" s="98">
        <f t="shared" si="2"/>
        <v>0</v>
      </c>
      <c r="K15" s="98">
        <f t="shared" si="2"/>
        <v>0</v>
      </c>
      <c r="L15" s="407">
        <f t="shared" si="1"/>
        <v>319999</v>
      </c>
      <c r="M15" s="98">
        <f t="shared" si="2"/>
        <v>45813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485</v>
      </c>
      <c r="B16" s="40" t="s">
        <v>486</v>
      </c>
      <c r="C16" s="231"/>
      <c r="D16" s="232"/>
      <c r="E16" s="232"/>
      <c r="F16" s="232"/>
      <c r="G16" s="232"/>
      <c r="H16" s="233"/>
      <c r="I16" s="247">
        <f>+'справка №1-БАЛАНС'!G31</f>
        <v>34057</v>
      </c>
      <c r="J16" s="408">
        <f>+'справка №1-БАЛАНС'!G32</f>
        <v>0</v>
      </c>
      <c r="K16" s="97"/>
      <c r="L16" s="407">
        <f t="shared" si="1"/>
        <v>34057</v>
      </c>
      <c r="M16" s="97">
        <v>1761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487</v>
      </c>
      <c r="B17" s="16" t="s">
        <v>488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4079</v>
      </c>
      <c r="G17" s="99">
        <f t="shared" si="3"/>
        <v>0</v>
      </c>
      <c r="H17" s="99">
        <f t="shared" si="3"/>
        <v>26409</v>
      </c>
      <c r="I17" s="99">
        <f t="shared" si="3"/>
        <v>-38404</v>
      </c>
      <c r="J17" s="99">
        <f>J18+J19</f>
        <v>0</v>
      </c>
      <c r="K17" s="99">
        <f t="shared" si="3"/>
        <v>0</v>
      </c>
      <c r="L17" s="407">
        <f t="shared" si="1"/>
        <v>-7916</v>
      </c>
      <c r="M17" s="99">
        <f>M18+M19</f>
        <v>-1787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489</v>
      </c>
      <c r="B18" s="36" t="s">
        <v>490</v>
      </c>
      <c r="C18" s="97"/>
      <c r="D18" s="97"/>
      <c r="E18" s="97"/>
      <c r="F18" s="97">
        <v>4079</v>
      </c>
      <c r="G18" s="97"/>
      <c r="H18" s="97"/>
      <c r="I18" s="97">
        <v>-9020</v>
      </c>
      <c r="J18" s="97"/>
      <c r="K18" s="97"/>
      <c r="L18" s="407">
        <f t="shared" si="1"/>
        <v>-4941</v>
      </c>
      <c r="M18" s="97">
        <v>-1787</v>
      </c>
      <c r="N18" s="19"/>
    </row>
    <row r="19" spans="1:14" ht="12" customHeight="1">
      <c r="A19" s="22" t="s">
        <v>491</v>
      </c>
      <c r="B19" s="36" t="s">
        <v>492</v>
      </c>
      <c r="C19" s="97"/>
      <c r="D19" s="97"/>
      <c r="E19" s="97"/>
      <c r="F19" s="97"/>
      <c r="G19" s="97"/>
      <c r="H19" s="97">
        <v>26409</v>
      </c>
      <c r="I19" s="97">
        <v>-29384</v>
      </c>
      <c r="J19" s="97"/>
      <c r="K19" s="97"/>
      <c r="L19" s="407">
        <f t="shared" si="1"/>
        <v>-2975</v>
      </c>
      <c r="M19" s="97"/>
      <c r="N19" s="19"/>
    </row>
    <row r="20" spans="1:14" ht="12.75" customHeight="1">
      <c r="A20" s="21" t="s">
        <v>493</v>
      </c>
      <c r="B20" s="16" t="s">
        <v>494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495</v>
      </c>
      <c r="B21" s="16" t="s">
        <v>496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497</v>
      </c>
      <c r="B22" s="16" t="s">
        <v>498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499</v>
      </c>
      <c r="B23" s="16" t="s">
        <v>500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501</v>
      </c>
      <c r="B24" s="16" t="s">
        <v>502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497</v>
      </c>
      <c r="B25" s="16" t="s">
        <v>503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499</v>
      </c>
      <c r="B26" s="16" t="s">
        <v>504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505</v>
      </c>
      <c r="B27" s="16" t="s">
        <v>506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507</v>
      </c>
      <c r="B28" s="16" t="s">
        <v>508</v>
      </c>
      <c r="C28" s="97">
        <v>-2132</v>
      </c>
      <c r="D28" s="97"/>
      <c r="E28" s="97">
        <v>206</v>
      </c>
      <c r="F28" s="97"/>
      <c r="G28" s="97"/>
      <c r="H28" s="97"/>
      <c r="I28" s="97"/>
      <c r="J28" s="97"/>
      <c r="K28" s="97"/>
      <c r="L28" s="407">
        <f t="shared" si="1"/>
        <v>-1926</v>
      </c>
      <c r="M28" s="97">
        <v>515</v>
      </c>
      <c r="N28" s="19"/>
    </row>
    <row r="29" spans="1:23" ht="14.25" customHeight="1">
      <c r="A29" s="18" t="s">
        <v>509</v>
      </c>
      <c r="B29" s="34" t="s">
        <v>510</v>
      </c>
      <c r="C29" s="96">
        <f>C17+C20+C21+C24+C28+C27+C15+C16</f>
        <v>118405</v>
      </c>
      <c r="D29" s="96">
        <f aca="true" t="shared" si="6" ref="D29:M29">D17+D20+D21+D24+D28+D27+D15+D16</f>
        <v>0</v>
      </c>
      <c r="E29" s="96">
        <f t="shared" si="6"/>
        <v>23348</v>
      </c>
      <c r="F29" s="96">
        <f t="shared" si="6"/>
        <v>25934</v>
      </c>
      <c r="G29" s="96">
        <f t="shared" si="6"/>
        <v>0</v>
      </c>
      <c r="H29" s="96">
        <f t="shared" si="6"/>
        <v>142470</v>
      </c>
      <c r="I29" s="96">
        <f t="shared" si="6"/>
        <v>34057</v>
      </c>
      <c r="J29" s="96">
        <f t="shared" si="6"/>
        <v>0</v>
      </c>
      <c r="K29" s="96">
        <f t="shared" si="6"/>
        <v>0</v>
      </c>
      <c r="L29" s="407">
        <f t="shared" si="1"/>
        <v>344214</v>
      </c>
      <c r="M29" s="96">
        <f t="shared" si="6"/>
        <v>46302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511</v>
      </c>
      <c r="B30" s="16" t="s">
        <v>512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513</v>
      </c>
      <c r="B31" s="16" t="s">
        <v>514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515</v>
      </c>
      <c r="B32" s="34" t="s">
        <v>516</v>
      </c>
      <c r="C32" s="96">
        <f aca="true" t="shared" si="7" ref="C32:K32">C29+C30+C31</f>
        <v>118405</v>
      </c>
      <c r="D32" s="96">
        <f t="shared" si="7"/>
        <v>0</v>
      </c>
      <c r="E32" s="96">
        <f t="shared" si="7"/>
        <v>23348</v>
      </c>
      <c r="F32" s="96">
        <f t="shared" si="7"/>
        <v>25934</v>
      </c>
      <c r="G32" s="96">
        <f t="shared" si="7"/>
        <v>0</v>
      </c>
      <c r="H32" s="96">
        <f t="shared" si="7"/>
        <v>142470</v>
      </c>
      <c r="I32" s="96">
        <f t="shared" si="7"/>
        <v>34057</v>
      </c>
      <c r="J32" s="96">
        <f t="shared" si="7"/>
        <v>0</v>
      </c>
      <c r="K32" s="96">
        <f t="shared" si="7"/>
        <v>0</v>
      </c>
      <c r="L32" s="407">
        <f t="shared" si="1"/>
        <v>344214</v>
      </c>
      <c r="M32" s="96">
        <f>M29+M30+M31</f>
        <v>46302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3" t="s">
        <v>896</v>
      </c>
      <c r="B35" s="37"/>
      <c r="C35" s="24"/>
      <c r="D35" s="595" t="s">
        <v>810</v>
      </c>
      <c r="E35" s="595"/>
      <c r="F35" s="415" t="s">
        <v>852</v>
      </c>
      <c r="G35" s="579"/>
      <c r="H35" s="579"/>
      <c r="I35" s="579"/>
      <c r="J35" s="24" t="s">
        <v>843</v>
      </c>
      <c r="K35" s="24"/>
      <c r="L35" s="415" t="s">
        <v>855</v>
      </c>
      <c r="M35" s="579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6">
      <selection activeCell="V37" sqref="V37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885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599" t="s">
        <v>379</v>
      </c>
      <c r="B2" s="600"/>
      <c r="C2" s="566"/>
      <c r="D2" s="566"/>
      <c r="E2" s="596" t="str">
        <f>'справка №1-БАЛАНС'!E3</f>
        <v>СОФАРМА АД</v>
      </c>
      <c r="F2" s="601"/>
      <c r="G2" s="601"/>
      <c r="H2" s="566"/>
      <c r="I2" s="424"/>
      <c r="J2" s="424"/>
      <c r="K2" s="424"/>
      <c r="L2" s="424"/>
      <c r="M2" s="603" t="s">
        <v>1</v>
      </c>
      <c r="N2" s="604"/>
      <c r="O2" s="604"/>
      <c r="P2" s="605">
        <f>'справка №1-БАЛАНС'!H3</f>
        <v>831902088</v>
      </c>
      <c r="Q2" s="605"/>
      <c r="R2" s="348"/>
    </row>
    <row r="3" spans="1:18" ht="15">
      <c r="A3" s="599" t="s">
        <v>4</v>
      </c>
      <c r="B3" s="600"/>
      <c r="C3" s="567"/>
      <c r="D3" s="567"/>
      <c r="E3" s="596" t="str">
        <f>'справка №1-БАЛАНС'!E5</f>
        <v>01.01.-31.12.2012</v>
      </c>
      <c r="F3" s="602"/>
      <c r="G3" s="602"/>
      <c r="H3" s="426"/>
      <c r="I3" s="426"/>
      <c r="J3" s="426"/>
      <c r="K3" s="426"/>
      <c r="L3" s="426"/>
      <c r="M3" s="606" t="s">
        <v>3</v>
      </c>
      <c r="N3" s="606"/>
      <c r="O3" s="558"/>
      <c r="P3" s="607">
        <f>'справка №1-БАЛАНС'!H4</f>
        <v>684</v>
      </c>
      <c r="Q3" s="607"/>
      <c r="R3" s="349"/>
    </row>
    <row r="4" spans="1:18" ht="12.75">
      <c r="A4" s="419" t="s">
        <v>517</v>
      </c>
      <c r="B4" s="425"/>
      <c r="C4" s="425"/>
      <c r="D4" s="426"/>
      <c r="E4" s="610"/>
      <c r="F4" s="611"/>
      <c r="G4" s="611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518</v>
      </c>
    </row>
    <row r="5" spans="1:18" s="43" customFormat="1" ht="30.75" customHeight="1">
      <c r="A5" s="612" t="s">
        <v>459</v>
      </c>
      <c r="B5" s="613"/>
      <c r="C5" s="616" t="s">
        <v>7</v>
      </c>
      <c r="D5" s="432" t="s">
        <v>519</v>
      </c>
      <c r="E5" s="432"/>
      <c r="F5" s="432"/>
      <c r="G5" s="432"/>
      <c r="H5" s="432" t="s">
        <v>520</v>
      </c>
      <c r="I5" s="432"/>
      <c r="J5" s="608" t="s">
        <v>521</v>
      </c>
      <c r="K5" s="432" t="s">
        <v>522</v>
      </c>
      <c r="L5" s="432"/>
      <c r="M5" s="432"/>
      <c r="N5" s="432"/>
      <c r="O5" s="432" t="s">
        <v>520</v>
      </c>
      <c r="P5" s="432"/>
      <c r="Q5" s="608" t="s">
        <v>523</v>
      </c>
      <c r="R5" s="608" t="s">
        <v>524</v>
      </c>
    </row>
    <row r="6" spans="1:18" s="43" customFormat="1" ht="48">
      <c r="A6" s="614"/>
      <c r="B6" s="615"/>
      <c r="C6" s="617"/>
      <c r="D6" s="433" t="s">
        <v>525</v>
      </c>
      <c r="E6" s="433" t="s">
        <v>526</v>
      </c>
      <c r="F6" s="433" t="s">
        <v>527</v>
      </c>
      <c r="G6" s="433" t="s">
        <v>528</v>
      </c>
      <c r="H6" s="433" t="s">
        <v>529</v>
      </c>
      <c r="I6" s="433" t="s">
        <v>530</v>
      </c>
      <c r="J6" s="609"/>
      <c r="K6" s="433" t="s">
        <v>525</v>
      </c>
      <c r="L6" s="433" t="s">
        <v>531</v>
      </c>
      <c r="M6" s="433" t="s">
        <v>532</v>
      </c>
      <c r="N6" s="433" t="s">
        <v>533</v>
      </c>
      <c r="O6" s="433" t="s">
        <v>529</v>
      </c>
      <c r="P6" s="433" t="s">
        <v>530</v>
      </c>
      <c r="Q6" s="609"/>
      <c r="R6" s="609"/>
    </row>
    <row r="7" spans="1:18" s="43" customFormat="1" ht="12">
      <c r="A7" s="435" t="s">
        <v>534</v>
      </c>
      <c r="B7" s="435"/>
      <c r="C7" s="436" t="s">
        <v>14</v>
      </c>
      <c r="D7" s="433">
        <v>1</v>
      </c>
      <c r="E7" s="433">
        <v>2</v>
      </c>
      <c r="F7" s="433">
        <v>3</v>
      </c>
      <c r="G7" s="433">
        <v>4</v>
      </c>
      <c r="H7" s="433">
        <v>5</v>
      </c>
      <c r="I7" s="433">
        <v>6</v>
      </c>
      <c r="J7" s="433">
        <v>7</v>
      </c>
      <c r="K7" s="433">
        <v>8</v>
      </c>
      <c r="L7" s="433">
        <v>9</v>
      </c>
      <c r="M7" s="433">
        <v>10</v>
      </c>
      <c r="N7" s="433">
        <v>11</v>
      </c>
      <c r="O7" s="433">
        <v>12</v>
      </c>
      <c r="P7" s="433">
        <v>13</v>
      </c>
      <c r="Q7" s="433">
        <v>14</v>
      </c>
      <c r="R7" s="433">
        <v>15</v>
      </c>
    </row>
    <row r="8" spans="1:18" ht="27" customHeight="1">
      <c r="A8" s="437" t="s">
        <v>535</v>
      </c>
      <c r="B8" s="438" t="s">
        <v>536</v>
      </c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28" ht="12">
      <c r="A9" s="441" t="s">
        <v>537</v>
      </c>
      <c r="B9" s="441" t="s">
        <v>538</v>
      </c>
      <c r="C9" s="442" t="s">
        <v>539</v>
      </c>
      <c r="D9" s="238">
        <v>40754</v>
      </c>
      <c r="E9" s="238">
        <v>1836</v>
      </c>
      <c r="F9" s="238">
        <f>82+515</f>
        <v>597</v>
      </c>
      <c r="G9" s="112">
        <f>D9+E9-F9</f>
        <v>41993</v>
      </c>
      <c r="H9" s="102"/>
      <c r="I9" s="102"/>
      <c r="J9" s="112">
        <f>G9+H9-I9</f>
        <v>41993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41993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1" t="s">
        <v>540</v>
      </c>
      <c r="B10" s="441" t="s">
        <v>541</v>
      </c>
      <c r="C10" s="442" t="s">
        <v>542</v>
      </c>
      <c r="D10" s="238">
        <v>96605</v>
      </c>
      <c r="E10" s="238">
        <f>819+309+2518</f>
        <v>3646</v>
      </c>
      <c r="F10" s="238">
        <f>324+98+502+236</f>
        <v>1160</v>
      </c>
      <c r="G10" s="112">
        <f aca="true" t="shared" si="2" ref="G10:G39">D10+E10-F10</f>
        <v>99091</v>
      </c>
      <c r="H10" s="102"/>
      <c r="I10" s="102"/>
      <c r="J10" s="112">
        <f aca="true" t="shared" si="3" ref="J10:J39">G10+H10-I10</f>
        <v>99091</v>
      </c>
      <c r="K10" s="102">
        <v>10575</v>
      </c>
      <c r="L10" s="102">
        <v>3378</v>
      </c>
      <c r="M10" s="102">
        <f>17+174</f>
        <v>191</v>
      </c>
      <c r="N10" s="112">
        <f aca="true" t="shared" si="4" ref="N10:N39">K10+L10-M10</f>
        <v>13762</v>
      </c>
      <c r="O10" s="102"/>
      <c r="P10" s="102"/>
      <c r="Q10" s="112">
        <f t="shared" si="0"/>
        <v>13762</v>
      </c>
      <c r="R10" s="112">
        <f t="shared" si="1"/>
        <v>85329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1" t="s">
        <v>543</v>
      </c>
      <c r="B11" s="441" t="s">
        <v>544</v>
      </c>
      <c r="C11" s="442" t="s">
        <v>545</v>
      </c>
      <c r="D11" s="238">
        <v>111946</v>
      </c>
      <c r="E11" s="238">
        <f>2694+17+10670</f>
        <v>13381</v>
      </c>
      <c r="F11" s="238">
        <f>281+1025+428+94</f>
        <v>1828</v>
      </c>
      <c r="G11" s="112">
        <f t="shared" si="2"/>
        <v>123499</v>
      </c>
      <c r="H11" s="102"/>
      <c r="I11" s="102"/>
      <c r="J11" s="112">
        <f t="shared" si="3"/>
        <v>123499</v>
      </c>
      <c r="K11" s="102">
        <v>58350</v>
      </c>
      <c r="L11" s="102">
        <v>8888</v>
      </c>
      <c r="M11" s="102">
        <f>877+492</f>
        <v>1369</v>
      </c>
      <c r="N11" s="112">
        <f t="shared" si="4"/>
        <v>65869</v>
      </c>
      <c r="O11" s="102"/>
      <c r="P11" s="102"/>
      <c r="Q11" s="112">
        <f t="shared" si="0"/>
        <v>65869</v>
      </c>
      <c r="R11" s="112">
        <f t="shared" si="1"/>
        <v>57630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1" t="s">
        <v>546</v>
      </c>
      <c r="B12" s="441" t="s">
        <v>547</v>
      </c>
      <c r="C12" s="442" t="s">
        <v>548</v>
      </c>
      <c r="D12" s="238">
        <v>4206</v>
      </c>
      <c r="E12" s="238">
        <f>94+5+288</f>
        <v>387</v>
      </c>
      <c r="F12" s="238">
        <f>114+116+77</f>
        <v>307</v>
      </c>
      <c r="G12" s="112">
        <f t="shared" si="2"/>
        <v>4286</v>
      </c>
      <c r="H12" s="102"/>
      <c r="I12" s="102"/>
      <c r="J12" s="112">
        <f t="shared" si="3"/>
        <v>4286</v>
      </c>
      <c r="K12" s="102">
        <v>1336</v>
      </c>
      <c r="L12" s="102">
        <v>238</v>
      </c>
      <c r="M12" s="102">
        <f>53+67</f>
        <v>120</v>
      </c>
      <c r="N12" s="112">
        <f t="shared" si="4"/>
        <v>1454</v>
      </c>
      <c r="O12" s="102"/>
      <c r="P12" s="102"/>
      <c r="Q12" s="112">
        <f t="shared" si="0"/>
        <v>1454</v>
      </c>
      <c r="R12" s="112">
        <f t="shared" si="1"/>
        <v>2832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1" t="s">
        <v>549</v>
      </c>
      <c r="B13" s="441" t="s">
        <v>550</v>
      </c>
      <c r="C13" s="442" t="s">
        <v>551</v>
      </c>
      <c r="D13" s="238">
        <v>21863</v>
      </c>
      <c r="E13" s="238">
        <f>3281+1591</f>
        <v>4872</v>
      </c>
      <c r="F13" s="238">
        <f>56+40+1315</f>
        <v>1411</v>
      </c>
      <c r="G13" s="112">
        <f t="shared" si="2"/>
        <v>25324</v>
      </c>
      <c r="H13" s="102"/>
      <c r="I13" s="102"/>
      <c r="J13" s="112">
        <f t="shared" si="3"/>
        <v>25324</v>
      </c>
      <c r="K13" s="102">
        <v>10585</v>
      </c>
      <c r="L13" s="102">
        <v>2837</v>
      </c>
      <c r="M13" s="102">
        <f>1173+11+40</f>
        <v>1224</v>
      </c>
      <c r="N13" s="112">
        <f t="shared" si="4"/>
        <v>12198</v>
      </c>
      <c r="O13" s="102"/>
      <c r="P13" s="102"/>
      <c r="Q13" s="112">
        <f t="shared" si="0"/>
        <v>12198</v>
      </c>
      <c r="R13" s="112">
        <f t="shared" si="1"/>
        <v>13126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1" t="s">
        <v>552</v>
      </c>
      <c r="B14" s="441" t="s">
        <v>553</v>
      </c>
      <c r="C14" s="442" t="s">
        <v>554</v>
      </c>
      <c r="D14" s="238">
        <v>11075</v>
      </c>
      <c r="E14" s="238">
        <f>1093+3613+29</f>
        <v>4735</v>
      </c>
      <c r="F14" s="238">
        <f>112+158+21+12</f>
        <v>303</v>
      </c>
      <c r="G14" s="112">
        <f t="shared" si="2"/>
        <v>15507</v>
      </c>
      <c r="H14" s="102"/>
      <c r="I14" s="102"/>
      <c r="J14" s="112">
        <f t="shared" si="3"/>
        <v>15507</v>
      </c>
      <c r="K14" s="102">
        <v>5732</v>
      </c>
      <c r="L14" s="102">
        <v>1615</v>
      </c>
      <c r="M14" s="102">
        <f>18+94+19</f>
        <v>131</v>
      </c>
      <c r="N14" s="112">
        <f t="shared" si="4"/>
        <v>7216</v>
      </c>
      <c r="O14" s="102"/>
      <c r="P14" s="102"/>
      <c r="Q14" s="112">
        <f t="shared" si="0"/>
        <v>7216</v>
      </c>
      <c r="R14" s="112">
        <f t="shared" si="1"/>
        <v>8291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4" t="s">
        <v>844</v>
      </c>
      <c r="B15" s="449" t="s">
        <v>845</v>
      </c>
      <c r="C15" s="545" t="s">
        <v>846</v>
      </c>
      <c r="D15" s="546">
        <v>36467</v>
      </c>
      <c r="E15" s="546">
        <v>63045</v>
      </c>
      <c r="F15" s="546">
        <f>41+161+181+18728</f>
        <v>19111</v>
      </c>
      <c r="G15" s="112">
        <f t="shared" si="2"/>
        <v>80401</v>
      </c>
      <c r="H15" s="547"/>
      <c r="I15" s="547"/>
      <c r="J15" s="112">
        <f t="shared" si="3"/>
        <v>80401</v>
      </c>
      <c r="K15" s="547">
        <v>0</v>
      </c>
      <c r="L15" s="547"/>
      <c r="M15" s="547"/>
      <c r="N15" s="112">
        <f t="shared" si="4"/>
        <v>0</v>
      </c>
      <c r="O15" s="547"/>
      <c r="P15" s="547"/>
      <c r="Q15" s="112">
        <f t="shared" si="0"/>
        <v>0</v>
      </c>
      <c r="R15" s="112">
        <f t="shared" si="1"/>
        <v>80401</v>
      </c>
      <c r="S15" s="548"/>
      <c r="T15" s="548"/>
      <c r="U15" s="548"/>
      <c r="V15" s="548"/>
      <c r="W15" s="548"/>
      <c r="X15" s="548"/>
      <c r="Y15" s="548"/>
      <c r="Z15" s="548"/>
      <c r="AA15" s="548"/>
      <c r="AB15" s="548"/>
    </row>
    <row r="16" spans="1:28" ht="12">
      <c r="A16" s="441" t="s">
        <v>555</v>
      </c>
      <c r="B16" s="242" t="s">
        <v>556</v>
      </c>
      <c r="C16" s="442" t="s">
        <v>557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1"/>
      <c r="B17" s="443" t="s">
        <v>558</v>
      </c>
      <c r="C17" s="444" t="s">
        <v>559</v>
      </c>
      <c r="D17" s="243">
        <f>SUM(D9:D16)</f>
        <v>322916</v>
      </c>
      <c r="E17" s="243">
        <f>SUM(E9:E16)</f>
        <v>91902</v>
      </c>
      <c r="F17" s="243">
        <f>SUM(F9:F16)</f>
        <v>24717</v>
      </c>
      <c r="G17" s="112">
        <f t="shared" si="2"/>
        <v>390101</v>
      </c>
      <c r="H17" s="113">
        <f>SUM(H9:H16)</f>
        <v>0</v>
      </c>
      <c r="I17" s="113">
        <f>SUM(I9:I16)</f>
        <v>0</v>
      </c>
      <c r="J17" s="112">
        <f t="shared" si="3"/>
        <v>390101</v>
      </c>
      <c r="K17" s="113">
        <f>SUM(K9:K16)</f>
        <v>86578</v>
      </c>
      <c r="L17" s="113">
        <f>SUM(L9:L16)</f>
        <v>16956</v>
      </c>
      <c r="M17" s="113">
        <f>SUM(M9:M16)</f>
        <v>3035</v>
      </c>
      <c r="N17" s="112">
        <f t="shared" si="4"/>
        <v>100499</v>
      </c>
      <c r="O17" s="113">
        <f>SUM(O9:O16)</f>
        <v>0</v>
      </c>
      <c r="P17" s="113">
        <f>SUM(P9:P16)</f>
        <v>0</v>
      </c>
      <c r="Q17" s="112">
        <f t="shared" si="5"/>
        <v>100499</v>
      </c>
      <c r="R17" s="112">
        <f t="shared" si="6"/>
        <v>289602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5" t="s">
        <v>560</v>
      </c>
      <c r="B18" s="446" t="s">
        <v>561</v>
      </c>
      <c r="C18" s="444" t="s">
        <v>562</v>
      </c>
      <c r="D18" s="236">
        <v>6555</v>
      </c>
      <c r="E18" s="236">
        <v>421</v>
      </c>
      <c r="F18" s="236"/>
      <c r="G18" s="112">
        <f t="shared" si="2"/>
        <v>6976</v>
      </c>
      <c r="H18" s="100">
        <v>134</v>
      </c>
      <c r="I18" s="100"/>
      <c r="J18" s="112">
        <f t="shared" si="3"/>
        <v>7110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7110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7" t="s">
        <v>563</v>
      </c>
      <c r="B19" s="446" t="s">
        <v>564</v>
      </c>
      <c r="C19" s="444" t="s">
        <v>565</v>
      </c>
      <c r="D19" s="236">
        <v>0</v>
      </c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8" t="s">
        <v>566</v>
      </c>
      <c r="B20" s="438" t="s">
        <v>567</v>
      </c>
      <c r="C20" s="442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1" t="s">
        <v>537</v>
      </c>
      <c r="B21" s="441" t="s">
        <v>568</v>
      </c>
      <c r="C21" s="442" t="s">
        <v>569</v>
      </c>
      <c r="D21" s="238">
        <v>9263</v>
      </c>
      <c r="E21" s="238">
        <f>160+1323</f>
        <v>1483</v>
      </c>
      <c r="F21" s="238">
        <v>28</v>
      </c>
      <c r="G21" s="112">
        <f t="shared" si="2"/>
        <v>10718</v>
      </c>
      <c r="H21" s="102"/>
      <c r="I21" s="102"/>
      <c r="J21" s="112">
        <f t="shared" si="3"/>
        <v>10718</v>
      </c>
      <c r="K21" s="102">
        <v>2511</v>
      </c>
      <c r="L21" s="102">
        <v>1584</v>
      </c>
      <c r="M21" s="102">
        <v>88</v>
      </c>
      <c r="N21" s="112">
        <f t="shared" si="4"/>
        <v>4007</v>
      </c>
      <c r="O21" s="102"/>
      <c r="P21" s="102"/>
      <c r="Q21" s="112">
        <f t="shared" si="5"/>
        <v>4007</v>
      </c>
      <c r="R21" s="112">
        <f t="shared" si="6"/>
        <v>6711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1" t="s">
        <v>540</v>
      </c>
      <c r="B22" s="441" t="s">
        <v>570</v>
      </c>
      <c r="C22" s="442" t="s">
        <v>571</v>
      </c>
      <c r="D22" s="238">
        <v>5181</v>
      </c>
      <c r="E22" s="238">
        <f>113+358</f>
        <v>471</v>
      </c>
      <c r="F22" s="238">
        <v>2</v>
      </c>
      <c r="G22" s="112">
        <f t="shared" si="2"/>
        <v>5650</v>
      </c>
      <c r="H22" s="102"/>
      <c r="I22" s="102"/>
      <c r="J22" s="112">
        <f t="shared" si="3"/>
        <v>5650</v>
      </c>
      <c r="K22" s="102">
        <v>2213</v>
      </c>
      <c r="L22" s="102">
        <v>898</v>
      </c>
      <c r="M22" s="102"/>
      <c r="N22" s="112">
        <f t="shared" si="4"/>
        <v>3111</v>
      </c>
      <c r="O22" s="102"/>
      <c r="P22" s="102"/>
      <c r="Q22" s="112">
        <f t="shared" si="5"/>
        <v>3111</v>
      </c>
      <c r="R22" s="112">
        <f t="shared" si="6"/>
        <v>2539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9" t="s">
        <v>543</v>
      </c>
      <c r="B23" s="449" t="s">
        <v>572</v>
      </c>
      <c r="C23" s="442" t="s">
        <v>573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1" t="s">
        <v>546</v>
      </c>
      <c r="B24" s="450" t="s">
        <v>556</v>
      </c>
      <c r="C24" s="442" t="s">
        <v>574</v>
      </c>
      <c r="D24" s="238">
        <v>4028</v>
      </c>
      <c r="E24" s="238">
        <f>2085+679</f>
        <v>2764</v>
      </c>
      <c r="F24" s="238">
        <f>302+1681+91+4</f>
        <v>2078</v>
      </c>
      <c r="G24" s="112">
        <f t="shared" si="2"/>
        <v>4714</v>
      </c>
      <c r="H24" s="102"/>
      <c r="I24" s="102"/>
      <c r="J24" s="112">
        <f t="shared" si="3"/>
        <v>4714</v>
      </c>
      <c r="K24" s="102">
        <v>550</v>
      </c>
      <c r="L24" s="102">
        <v>141</v>
      </c>
      <c r="M24" s="102">
        <v>58</v>
      </c>
      <c r="N24" s="112">
        <f t="shared" si="4"/>
        <v>633</v>
      </c>
      <c r="O24" s="102"/>
      <c r="P24" s="102"/>
      <c r="Q24" s="112">
        <f t="shared" si="5"/>
        <v>633</v>
      </c>
      <c r="R24" s="112">
        <f t="shared" si="6"/>
        <v>4081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1"/>
      <c r="B25" s="443" t="s">
        <v>826</v>
      </c>
      <c r="C25" s="451" t="s">
        <v>576</v>
      </c>
      <c r="D25" s="239">
        <f>SUM(D21:D24)</f>
        <v>18472</v>
      </c>
      <c r="E25" s="239">
        <f aca="true" t="shared" si="7" ref="E25:P25">SUM(E21:E24)</f>
        <v>4718</v>
      </c>
      <c r="F25" s="239">
        <f t="shared" si="7"/>
        <v>2108</v>
      </c>
      <c r="G25" s="104">
        <f t="shared" si="2"/>
        <v>21082</v>
      </c>
      <c r="H25" s="103">
        <f t="shared" si="7"/>
        <v>0</v>
      </c>
      <c r="I25" s="103">
        <f t="shared" si="7"/>
        <v>0</v>
      </c>
      <c r="J25" s="104">
        <f t="shared" si="3"/>
        <v>21082</v>
      </c>
      <c r="K25" s="103">
        <f t="shared" si="7"/>
        <v>5274</v>
      </c>
      <c r="L25" s="103">
        <f t="shared" si="7"/>
        <v>2623</v>
      </c>
      <c r="M25" s="103">
        <f t="shared" si="7"/>
        <v>146</v>
      </c>
      <c r="N25" s="104">
        <f t="shared" si="4"/>
        <v>7751</v>
      </c>
      <c r="O25" s="103">
        <f t="shared" si="7"/>
        <v>0</v>
      </c>
      <c r="P25" s="103">
        <f t="shared" si="7"/>
        <v>0</v>
      </c>
      <c r="Q25" s="104">
        <f t="shared" si="5"/>
        <v>7751</v>
      </c>
      <c r="R25" s="104">
        <f t="shared" si="6"/>
        <v>13331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8" t="s">
        <v>577</v>
      </c>
      <c r="B26" s="452" t="s">
        <v>578</v>
      </c>
      <c r="C26" s="453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7"/>
    </row>
    <row r="27" spans="1:28" ht="12">
      <c r="A27" s="441" t="s">
        <v>537</v>
      </c>
      <c r="B27" s="454" t="s">
        <v>840</v>
      </c>
      <c r="C27" s="455" t="s">
        <v>579</v>
      </c>
      <c r="D27" s="241">
        <f>SUM(D28:D31)</f>
        <v>19972</v>
      </c>
      <c r="E27" s="241">
        <f aca="true" t="shared" si="8" ref="E27:P27">SUM(E28:E31)</f>
        <v>4316</v>
      </c>
      <c r="F27" s="241">
        <f t="shared" si="8"/>
        <v>0</v>
      </c>
      <c r="G27" s="109">
        <f t="shared" si="2"/>
        <v>24288</v>
      </c>
      <c r="H27" s="108">
        <f t="shared" si="8"/>
        <v>0</v>
      </c>
      <c r="I27" s="108">
        <f t="shared" si="8"/>
        <v>3202</v>
      </c>
      <c r="J27" s="109">
        <f t="shared" si="3"/>
        <v>21086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21086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1"/>
      <c r="B28" s="441" t="s">
        <v>105</v>
      </c>
      <c r="C28" s="442" t="s">
        <v>580</v>
      </c>
      <c r="D28" s="238"/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1"/>
      <c r="B29" s="441" t="s">
        <v>107</v>
      </c>
      <c r="C29" s="442" t="s">
        <v>581</v>
      </c>
      <c r="D29" s="238"/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1"/>
      <c r="B30" s="441" t="s">
        <v>111</v>
      </c>
      <c r="C30" s="442" t="s">
        <v>582</v>
      </c>
      <c r="D30" s="238"/>
      <c r="E30" s="238">
        <v>566</v>
      </c>
      <c r="F30" s="238"/>
      <c r="G30" s="112">
        <f t="shared" si="2"/>
        <v>566</v>
      </c>
      <c r="H30" s="110"/>
      <c r="I30" s="110"/>
      <c r="J30" s="112">
        <f t="shared" si="3"/>
        <v>566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566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1"/>
      <c r="B31" s="441" t="s">
        <v>113</v>
      </c>
      <c r="C31" s="442" t="s">
        <v>583</v>
      </c>
      <c r="D31" s="238">
        <v>19972</v>
      </c>
      <c r="E31" s="238">
        <v>3750</v>
      </c>
      <c r="F31" s="238"/>
      <c r="G31" s="112">
        <f t="shared" si="2"/>
        <v>23722</v>
      </c>
      <c r="H31" s="110"/>
      <c r="I31" s="110">
        <v>3202</v>
      </c>
      <c r="J31" s="112">
        <f t="shared" si="3"/>
        <v>20520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20520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1" t="s">
        <v>540</v>
      </c>
      <c r="B32" s="454" t="s">
        <v>584</v>
      </c>
      <c r="C32" s="442" t="s">
        <v>585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1"/>
      <c r="B33" s="456" t="s">
        <v>119</v>
      </c>
      <c r="C33" s="442" t="s">
        <v>586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1"/>
      <c r="B34" s="456" t="s">
        <v>587</v>
      </c>
      <c r="C34" s="442" t="s">
        <v>588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1"/>
      <c r="B35" s="456" t="s">
        <v>589</v>
      </c>
      <c r="C35" s="442" t="s">
        <v>590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1"/>
      <c r="B36" s="456" t="s">
        <v>591</v>
      </c>
      <c r="C36" s="442" t="s">
        <v>592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1" t="s">
        <v>543</v>
      </c>
      <c r="B37" s="456" t="s">
        <v>556</v>
      </c>
      <c r="C37" s="442" t="s">
        <v>593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1"/>
      <c r="B38" s="443" t="s">
        <v>841</v>
      </c>
      <c r="C38" s="444" t="s">
        <v>595</v>
      </c>
      <c r="D38" s="243">
        <f>D27+D32+D37</f>
        <v>19972</v>
      </c>
      <c r="E38" s="243">
        <f aca="true" t="shared" si="12" ref="E38:P38">E27+E32+E37</f>
        <v>4316</v>
      </c>
      <c r="F38" s="243">
        <f t="shared" si="12"/>
        <v>0</v>
      </c>
      <c r="G38" s="112">
        <f t="shared" si="2"/>
        <v>24288</v>
      </c>
      <c r="H38" s="113">
        <f t="shared" si="12"/>
        <v>0</v>
      </c>
      <c r="I38" s="113">
        <f t="shared" si="12"/>
        <v>3202</v>
      </c>
      <c r="J38" s="112">
        <f t="shared" si="3"/>
        <v>21086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21086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5" t="s">
        <v>596</v>
      </c>
      <c r="B39" s="445" t="s">
        <v>597</v>
      </c>
      <c r="C39" s="444" t="s">
        <v>598</v>
      </c>
      <c r="D39" s="578">
        <v>21602</v>
      </c>
      <c r="E39" s="578">
        <v>163</v>
      </c>
      <c r="F39" s="578">
        <v>738</v>
      </c>
      <c r="G39" s="112">
        <f t="shared" si="2"/>
        <v>21027</v>
      </c>
      <c r="H39" s="578"/>
      <c r="I39" s="578">
        <v>48</v>
      </c>
      <c r="J39" s="112">
        <f t="shared" si="3"/>
        <v>20979</v>
      </c>
      <c r="K39" s="578">
        <v>6821</v>
      </c>
      <c r="L39" s="578"/>
      <c r="M39" s="578"/>
      <c r="N39" s="112">
        <f t="shared" si="4"/>
        <v>6821</v>
      </c>
      <c r="O39" s="578"/>
      <c r="P39" s="578"/>
      <c r="Q39" s="112">
        <f t="shared" si="9"/>
        <v>6821</v>
      </c>
      <c r="R39" s="112">
        <f t="shared" si="10"/>
        <v>14158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1"/>
      <c r="B40" s="445" t="s">
        <v>599</v>
      </c>
      <c r="C40" s="434" t="s">
        <v>600</v>
      </c>
      <c r="D40" s="528">
        <f>D17+D18+D19+D25+D38+D39</f>
        <v>389517</v>
      </c>
      <c r="E40" s="528">
        <f>E17+E18+E19+E25+E38+E39</f>
        <v>101520</v>
      </c>
      <c r="F40" s="528">
        <f aca="true" t="shared" si="13" ref="F40:R40">F17+F18+F19+F25+F38+F39</f>
        <v>27563</v>
      </c>
      <c r="G40" s="528">
        <f t="shared" si="13"/>
        <v>463474</v>
      </c>
      <c r="H40" s="528">
        <f t="shared" si="13"/>
        <v>134</v>
      </c>
      <c r="I40" s="528">
        <f t="shared" si="13"/>
        <v>3250</v>
      </c>
      <c r="J40" s="528">
        <f t="shared" si="13"/>
        <v>460358</v>
      </c>
      <c r="K40" s="528">
        <f t="shared" si="13"/>
        <v>98673</v>
      </c>
      <c r="L40" s="528">
        <f t="shared" si="13"/>
        <v>19579</v>
      </c>
      <c r="M40" s="528">
        <f t="shared" si="13"/>
        <v>3181</v>
      </c>
      <c r="N40" s="528">
        <f t="shared" si="13"/>
        <v>115071</v>
      </c>
      <c r="O40" s="528">
        <f t="shared" si="13"/>
        <v>0</v>
      </c>
      <c r="P40" s="528">
        <f t="shared" si="13"/>
        <v>0</v>
      </c>
      <c r="Q40" s="528">
        <f t="shared" si="13"/>
        <v>115071</v>
      </c>
      <c r="R40" s="528">
        <f t="shared" si="13"/>
        <v>345287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8"/>
      <c r="E41" s="458"/>
      <c r="F41" s="458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</row>
    <row r="42" spans="1:18" ht="12">
      <c r="A42" s="419"/>
      <c r="B42" s="419" t="s">
        <v>601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 t="s">
        <v>892</v>
      </c>
      <c r="C44" s="428"/>
      <c r="D44" s="429"/>
      <c r="E44" s="429"/>
      <c r="F44" s="429"/>
      <c r="G44" s="419"/>
      <c r="H44" s="430" t="s">
        <v>856</v>
      </c>
      <c r="I44" s="430"/>
      <c r="J44" s="430"/>
      <c r="K44" s="618"/>
      <c r="L44" s="618"/>
      <c r="M44" s="618"/>
      <c r="N44" s="618"/>
      <c r="O44" s="604" t="s">
        <v>849</v>
      </c>
      <c r="P44" s="600"/>
      <c r="Q44" s="600"/>
      <c r="R44" s="600"/>
    </row>
    <row r="45" spans="1:18" ht="12">
      <c r="A45" s="420"/>
      <c r="B45" s="420"/>
      <c r="C45" s="420"/>
      <c r="D45" s="431"/>
      <c r="E45" s="431"/>
      <c r="F45" s="431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0"/>
      <c r="C46" s="420"/>
      <c r="D46" s="431"/>
      <c r="E46" s="431"/>
      <c r="F46" s="431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18" ht="12">
      <c r="A47" s="420"/>
      <c r="B47" s="420"/>
      <c r="C47" s="420"/>
      <c r="D47" s="431"/>
      <c r="E47" s="431"/>
      <c r="F47" s="431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1"/>
      <c r="E48" s="431"/>
      <c r="F48" s="431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1"/>
      <c r="E49" s="431"/>
      <c r="F49" s="431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1"/>
      <c r="E50" s="431"/>
      <c r="F50" s="431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4">
      <selection activeCell="C22" sqref="C22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2" t="s">
        <v>884</v>
      </c>
      <c r="B1" s="622"/>
      <c r="C1" s="622"/>
      <c r="D1" s="622"/>
      <c r="E1" s="622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90"/>
      <c r="B2" s="491"/>
      <c r="C2" s="492"/>
      <c r="E2" s="493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3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23"/>
      <c r="C3" s="348" t="s">
        <v>1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4" t="str">
        <f>"Отчетен период:"&amp;"           "&amp;'справка №1-БАЛАНС'!E5</f>
        <v>Отчетен период:           01.01.-31.12.2012</v>
      </c>
      <c r="B4" s="624"/>
      <c r="C4" s="349" t="s">
        <v>3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4" t="s">
        <v>602</v>
      </c>
      <c r="B5" s="495"/>
      <c r="C5" s="496"/>
      <c r="D5" s="496"/>
      <c r="E5" s="497" t="s">
        <v>603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4" t="s">
        <v>459</v>
      </c>
      <c r="B6" s="465" t="s">
        <v>7</v>
      </c>
      <c r="C6" s="466" t="s">
        <v>604</v>
      </c>
      <c r="D6" s="187" t="s">
        <v>605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4"/>
      <c r="B7" s="467"/>
      <c r="C7" s="466"/>
      <c r="D7" s="468" t="s">
        <v>606</v>
      </c>
      <c r="E7" s="170" t="s">
        <v>607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13</v>
      </c>
      <c r="B8" s="467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8" t="s">
        <v>608</v>
      </c>
      <c r="B9" s="469" t="s">
        <v>609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8" t="s">
        <v>610</v>
      </c>
      <c r="B10" s="470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1" t="s">
        <v>611</v>
      </c>
      <c r="B11" s="472" t="s">
        <v>612</v>
      </c>
      <c r="C11" s="164">
        <f>SUM(C12:C14)</f>
        <v>748</v>
      </c>
      <c r="D11" s="164">
        <f>SUM(D12:D14)</f>
        <v>0</v>
      </c>
      <c r="E11" s="165">
        <f>SUM(E12:E14)</f>
        <v>748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1" t="s">
        <v>613</v>
      </c>
      <c r="B12" s="472" t="s">
        <v>614</v>
      </c>
      <c r="C12" s="152">
        <v>748</v>
      </c>
      <c r="D12" s="152"/>
      <c r="E12" s="165">
        <f aca="true" t="shared" si="0" ref="E12:E42">C12-D12</f>
        <v>748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1" t="s">
        <v>615</v>
      </c>
      <c r="B13" s="472" t="s">
        <v>616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1" t="s">
        <v>617</v>
      </c>
      <c r="B14" s="472" t="s">
        <v>618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1" t="s">
        <v>619</v>
      </c>
      <c r="B15" s="472" t="s">
        <v>620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1" t="s">
        <v>621</v>
      </c>
      <c r="B16" s="472" t="s">
        <v>622</v>
      </c>
      <c r="C16" s="164">
        <f>+C17+C18</f>
        <v>1897</v>
      </c>
      <c r="D16" s="164">
        <f>+D17+D18</f>
        <v>0</v>
      </c>
      <c r="E16" s="165">
        <f t="shared" si="0"/>
        <v>1897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1" t="s">
        <v>623</v>
      </c>
      <c r="B17" s="472" t="s">
        <v>624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1" t="s">
        <v>617</v>
      </c>
      <c r="B18" s="472" t="s">
        <v>625</v>
      </c>
      <c r="C18" s="152">
        <v>1897</v>
      </c>
      <c r="D18" s="152"/>
      <c r="E18" s="165">
        <f t="shared" si="0"/>
        <v>1897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3" t="s">
        <v>626</v>
      </c>
      <c r="B19" s="469" t="s">
        <v>627</v>
      </c>
      <c r="C19" s="148">
        <f>C11+C15+C16</f>
        <v>2645</v>
      </c>
      <c r="D19" s="148">
        <f>D11+D15+D16</f>
        <v>0</v>
      </c>
      <c r="E19" s="163">
        <f>E11+E15+E16</f>
        <v>2645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8" t="s">
        <v>628</v>
      </c>
      <c r="B20" s="470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1" t="s">
        <v>629</v>
      </c>
      <c r="B21" s="469" t="s">
        <v>630</v>
      </c>
      <c r="C21" s="152">
        <v>3327</v>
      </c>
      <c r="D21" s="152"/>
      <c r="E21" s="165">
        <f t="shared" si="0"/>
        <v>3327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1"/>
      <c r="B22" s="470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8" t="s">
        <v>631</v>
      </c>
      <c r="B23" s="474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1" t="s">
        <v>632</v>
      </c>
      <c r="B24" s="472" t="s">
        <v>633</v>
      </c>
      <c r="C24" s="164">
        <f>SUM(C25:C27)</f>
        <v>60691</v>
      </c>
      <c r="D24" s="164">
        <f>SUM(D25:D27)</f>
        <v>60691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1" t="s">
        <v>634</v>
      </c>
      <c r="B25" s="472" t="s">
        <v>635</v>
      </c>
      <c r="C25" s="152">
        <v>59121</v>
      </c>
      <c r="D25" s="152">
        <f>+C25</f>
        <v>59121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1" t="s">
        <v>636</v>
      </c>
      <c r="B26" s="472" t="s">
        <v>637</v>
      </c>
      <c r="C26" s="152">
        <v>1570</v>
      </c>
      <c r="D26" s="152">
        <f aca="true" t="shared" si="1" ref="D26:D32">+C26</f>
        <v>1570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1" t="s">
        <v>638</v>
      </c>
      <c r="B27" s="472" t="s">
        <v>639</v>
      </c>
      <c r="C27" s="152"/>
      <c r="D27" s="152">
        <f t="shared" si="1"/>
        <v>0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1" t="s">
        <v>640</v>
      </c>
      <c r="B28" s="472" t="s">
        <v>641</v>
      </c>
      <c r="C28" s="152">
        <v>158922</v>
      </c>
      <c r="D28" s="152">
        <f t="shared" si="1"/>
        <v>158922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1" t="s">
        <v>642</v>
      </c>
      <c r="B29" s="472" t="s">
        <v>643</v>
      </c>
      <c r="C29" s="152">
        <f>'справка №1-БАЛАНС'!C69</f>
        <v>5884</v>
      </c>
      <c r="D29" s="152">
        <f t="shared" si="1"/>
        <v>5884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1" t="s">
        <v>644</v>
      </c>
      <c r="B30" s="472" t="s">
        <v>645</v>
      </c>
      <c r="C30" s="152">
        <f>'справка №1-БАЛАНС'!C70</f>
        <v>499</v>
      </c>
      <c r="D30" s="152">
        <f t="shared" si="1"/>
        <v>499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1" t="s">
        <v>646</v>
      </c>
      <c r="B31" s="472" t="s">
        <v>647</v>
      </c>
      <c r="C31" s="152">
        <f>'справка №1-БАЛАНС'!C71</f>
        <v>11110</v>
      </c>
      <c r="D31" s="152">
        <f t="shared" si="1"/>
        <v>11110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1" t="s">
        <v>648</v>
      </c>
      <c r="B32" s="472" t="s">
        <v>649</v>
      </c>
      <c r="C32" s="152">
        <v>0</v>
      </c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1" t="s">
        <v>650</v>
      </c>
      <c r="B33" s="472" t="s">
        <v>651</v>
      </c>
      <c r="C33" s="149">
        <f>SUM(C34:C37)</f>
        <v>7947</v>
      </c>
      <c r="D33" s="149">
        <f>SUM(D34:D37)</f>
        <v>7947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1" t="s">
        <v>652</v>
      </c>
      <c r="B34" s="472" t="s">
        <v>653</v>
      </c>
      <c r="C34" s="152">
        <v>1688</v>
      </c>
      <c r="D34" s="152">
        <f>+C34</f>
        <v>1688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1" t="s">
        <v>654</v>
      </c>
      <c r="B35" s="472" t="s">
        <v>655</v>
      </c>
      <c r="C35" s="152">
        <v>2266</v>
      </c>
      <c r="D35" s="152">
        <f>+C35</f>
        <v>2266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1" t="s">
        <v>656</v>
      </c>
      <c r="B36" s="472" t="s">
        <v>657</v>
      </c>
      <c r="C36" s="152">
        <v>0</v>
      </c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1" t="s">
        <v>658</v>
      </c>
      <c r="B37" s="472" t="s">
        <v>659</v>
      </c>
      <c r="C37" s="152">
        <v>3993</v>
      </c>
      <c r="D37" s="152">
        <f>+C37</f>
        <v>3993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1" t="s">
        <v>660</v>
      </c>
      <c r="B38" s="472" t="s">
        <v>661</v>
      </c>
      <c r="C38" s="164">
        <f>SUM(C39:C42)</f>
        <v>1574</v>
      </c>
      <c r="D38" s="149">
        <f>SUM(D39:D42)</f>
        <v>1574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1" t="s">
        <v>662</v>
      </c>
      <c r="B39" s="472" t="s">
        <v>663</v>
      </c>
      <c r="C39" s="152">
        <v>0</v>
      </c>
      <c r="D39" s="152">
        <f>+C39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1" t="s">
        <v>664</v>
      </c>
      <c r="B40" s="472" t="s">
        <v>665</v>
      </c>
      <c r="C40" s="152">
        <v>0</v>
      </c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1" t="s">
        <v>666</v>
      </c>
      <c r="B41" s="472" t="s">
        <v>667</v>
      </c>
      <c r="C41" s="152">
        <v>0</v>
      </c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1" t="s">
        <v>668</v>
      </c>
      <c r="B42" s="472" t="s">
        <v>669</v>
      </c>
      <c r="C42" s="152">
        <f>'справка №1-БАЛАНС'!C74</f>
        <v>1574</v>
      </c>
      <c r="D42" s="152">
        <f>+C42</f>
        <v>1574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3" t="s">
        <v>670</v>
      </c>
      <c r="B43" s="469" t="s">
        <v>671</v>
      </c>
      <c r="C43" s="148">
        <f>C24+C28+C29+C31+C30+C32+C33+C38</f>
        <v>246627</v>
      </c>
      <c r="D43" s="148">
        <f>D24+D28+D29+D31+D30+D32+D33+D38</f>
        <v>246627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8" t="s">
        <v>672</v>
      </c>
      <c r="B44" s="470" t="s">
        <v>673</v>
      </c>
      <c r="C44" s="147">
        <f>C43+C21+C19+C9</f>
        <v>252599</v>
      </c>
      <c r="D44" s="147">
        <f>D43+D21+D19+D9</f>
        <v>246627</v>
      </c>
      <c r="E44" s="163">
        <f>E43+E21+E19+E9</f>
        <v>5972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5"/>
      <c r="B45" s="476"/>
      <c r="C45" s="477"/>
      <c r="D45" s="477"/>
      <c r="E45" s="477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5"/>
      <c r="B46" s="476"/>
      <c r="C46" s="477"/>
      <c r="D46" s="477"/>
      <c r="E46" s="477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5" t="s">
        <v>674</v>
      </c>
      <c r="B47" s="476"/>
      <c r="C47" s="478"/>
      <c r="D47" s="478"/>
      <c r="E47" s="478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4" t="s">
        <v>459</v>
      </c>
      <c r="B48" s="465" t="s">
        <v>7</v>
      </c>
      <c r="C48" s="479" t="s">
        <v>675</v>
      </c>
      <c r="D48" s="187" t="s">
        <v>676</v>
      </c>
      <c r="E48" s="187"/>
      <c r="F48" s="187" t="s">
        <v>677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4"/>
      <c r="B49" s="467"/>
      <c r="C49" s="479"/>
      <c r="D49" s="468" t="s">
        <v>606</v>
      </c>
      <c r="E49" s="468" t="s">
        <v>607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13</v>
      </c>
      <c r="B50" s="467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8" t="s">
        <v>678</v>
      </c>
      <c r="B51" s="474"/>
      <c r="C51" s="147"/>
      <c r="D51" s="147"/>
      <c r="E51" s="147"/>
      <c r="F51" s="480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1" t="s">
        <v>679</v>
      </c>
      <c r="B52" s="472" t="s">
        <v>680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1" t="s">
        <v>681</v>
      </c>
      <c r="B53" s="472" t="s">
        <v>682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1" t="s">
        <v>683</v>
      </c>
      <c r="B54" s="472" t="s">
        <v>684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1" t="s">
        <v>668</v>
      </c>
      <c r="B55" s="472" t="s">
        <v>685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1" t="s">
        <v>686</v>
      </c>
      <c r="B56" s="472" t="s">
        <v>687</v>
      </c>
      <c r="C56" s="147">
        <f>C57+C59</f>
        <v>57024</v>
      </c>
      <c r="D56" s="147">
        <f>D57+D59</f>
        <v>0</v>
      </c>
      <c r="E56" s="164">
        <f t="shared" si="2"/>
        <v>57024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1" t="s">
        <v>688</v>
      </c>
      <c r="B57" s="472" t="s">
        <v>689</v>
      </c>
      <c r="C57" s="152">
        <f>'справка №1-БАЛАНС'!G44</f>
        <v>57024</v>
      </c>
      <c r="D57" s="152"/>
      <c r="E57" s="164">
        <f t="shared" si="2"/>
        <v>57024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1" t="s">
        <v>690</v>
      </c>
      <c r="B58" s="472" t="s">
        <v>691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1" t="s">
        <v>692</v>
      </c>
      <c r="B59" s="472" t="s">
        <v>693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1" t="s">
        <v>690</v>
      </c>
      <c r="B60" s="472" t="s">
        <v>694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1" t="s">
        <v>137</v>
      </c>
      <c r="B61" s="472" t="s">
        <v>695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1" t="s">
        <v>140</v>
      </c>
      <c r="B62" s="472" t="s">
        <v>696</v>
      </c>
      <c r="C62" s="152">
        <f>'справка №1-БАЛАНС'!G43</f>
        <v>0</v>
      </c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1" t="s">
        <v>697</v>
      </c>
      <c r="B63" s="472" t="s">
        <v>698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1" t="s">
        <v>699</v>
      </c>
      <c r="B64" s="472" t="s">
        <v>700</v>
      </c>
      <c r="C64" s="152">
        <f>'справка №1-БАЛАНС'!G48+'справка №1-БАЛАНС'!G51</f>
        <v>7278</v>
      </c>
      <c r="D64" s="152"/>
      <c r="E64" s="164">
        <f t="shared" si="2"/>
        <v>7278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1" t="s">
        <v>701</v>
      </c>
      <c r="B65" s="472" t="s">
        <v>702</v>
      </c>
      <c r="C65" s="153">
        <v>2430</v>
      </c>
      <c r="D65" s="153"/>
      <c r="E65" s="164">
        <f t="shared" si="2"/>
        <v>2430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3" t="s">
        <v>703</v>
      </c>
      <c r="B66" s="469" t="s">
        <v>704</v>
      </c>
      <c r="C66" s="147">
        <f>C52+C56+C61+C62+C63+C64</f>
        <v>64302</v>
      </c>
      <c r="D66" s="147">
        <f>D52+D56+D61+D62+D63+D64</f>
        <v>0</v>
      </c>
      <c r="E66" s="164">
        <f t="shared" si="2"/>
        <v>64302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8" t="s">
        <v>705</v>
      </c>
      <c r="B67" s="470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1" t="s">
        <v>706</v>
      </c>
      <c r="B68" s="482" t="s">
        <v>707</v>
      </c>
      <c r="C68" s="152">
        <f>'справка №1-БАЛАНС'!G53</f>
        <v>7405</v>
      </c>
      <c r="D68" s="152"/>
      <c r="E68" s="164">
        <f t="shared" si="2"/>
        <v>7405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8"/>
      <c r="B69" s="470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8" t="s">
        <v>708</v>
      </c>
      <c r="B70" s="474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1" t="s">
        <v>679</v>
      </c>
      <c r="B71" s="472" t="s">
        <v>709</v>
      </c>
      <c r="C71" s="149">
        <f>SUM(C72:C74)</f>
        <v>2306</v>
      </c>
      <c r="D71" s="149">
        <f>SUM(D72:D74)</f>
        <v>2306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1" t="s">
        <v>710</v>
      </c>
      <c r="B72" s="472" t="s">
        <v>711</v>
      </c>
      <c r="C72" s="152">
        <v>2286</v>
      </c>
      <c r="D72" s="152">
        <f>+C72</f>
        <v>2286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1" t="s">
        <v>712</v>
      </c>
      <c r="B73" s="472" t="s">
        <v>713</v>
      </c>
      <c r="C73" s="152">
        <v>2</v>
      </c>
      <c r="D73" s="152">
        <f>+C73</f>
        <v>2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3" t="s">
        <v>714</v>
      </c>
      <c r="B74" s="472" t="s">
        <v>715</v>
      </c>
      <c r="C74" s="152">
        <v>18</v>
      </c>
      <c r="D74" s="152">
        <f>+C74</f>
        <v>18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1" t="s">
        <v>686</v>
      </c>
      <c r="B75" s="472" t="s">
        <v>716</v>
      </c>
      <c r="C75" s="147">
        <f>C76+C78</f>
        <v>146880</v>
      </c>
      <c r="D75" s="147">
        <f>D76+D78</f>
        <v>146880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1" t="s">
        <v>717</v>
      </c>
      <c r="B76" s="472" t="s">
        <v>718</v>
      </c>
      <c r="C76" s="152">
        <f>'справка №1-БАЛАНС'!G59</f>
        <v>146880</v>
      </c>
      <c r="D76" s="152">
        <f>+C76</f>
        <v>146880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1" t="s">
        <v>719</v>
      </c>
      <c r="B77" s="472" t="s">
        <v>720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1" t="s">
        <v>721</v>
      </c>
      <c r="B78" s="472" t="s">
        <v>722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1" t="s">
        <v>690</v>
      </c>
      <c r="B79" s="472" t="s">
        <v>723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1" t="s">
        <v>724</v>
      </c>
      <c r="B80" s="472" t="s">
        <v>725</v>
      </c>
      <c r="C80" s="147">
        <f>SUM(C81:C84)</f>
        <v>65674</v>
      </c>
      <c r="D80" s="147">
        <f>SUM(D81:D84)</f>
        <v>65674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1" t="s">
        <v>726</v>
      </c>
      <c r="B81" s="472" t="s">
        <v>727</v>
      </c>
      <c r="C81" s="152"/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1" t="s">
        <v>728</v>
      </c>
      <c r="B82" s="472" t="s">
        <v>729</v>
      </c>
      <c r="C82" s="152"/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1" t="s">
        <v>730</v>
      </c>
      <c r="B83" s="472" t="s">
        <v>731</v>
      </c>
      <c r="C83" s="152">
        <f>'справка №1-БАЛАНС'!G60</f>
        <v>65674</v>
      </c>
      <c r="D83" s="152">
        <f>+C83</f>
        <v>65674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1" t="s">
        <v>732</v>
      </c>
      <c r="B84" s="472" t="s">
        <v>733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1" t="s">
        <v>734</v>
      </c>
      <c r="B85" s="472" t="s">
        <v>735</v>
      </c>
      <c r="C85" s="148">
        <f>SUM(C86:C90)+C94</f>
        <v>66032</v>
      </c>
      <c r="D85" s="148">
        <f>SUM(D86:D90)+D94</f>
        <v>66032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1" t="s">
        <v>736</v>
      </c>
      <c r="B86" s="472" t="s">
        <v>737</v>
      </c>
      <c r="C86" s="152"/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1" t="s">
        <v>738</v>
      </c>
      <c r="B87" s="472" t="s">
        <v>739</v>
      </c>
      <c r="C87" s="152">
        <f>'справка №1-БАЛАНС'!G64</f>
        <v>55538</v>
      </c>
      <c r="D87" s="152">
        <f>+C87</f>
        <v>55538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1" t="s">
        <v>740</v>
      </c>
      <c r="B88" s="472" t="s">
        <v>741</v>
      </c>
      <c r="C88" s="152">
        <f>'справка №1-БАЛАНС'!G65</f>
        <v>1476</v>
      </c>
      <c r="D88" s="152">
        <f>+C88</f>
        <v>1476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1" t="s">
        <v>742</v>
      </c>
      <c r="B89" s="472" t="s">
        <v>743</v>
      </c>
      <c r="C89" s="152">
        <f>'справка №1-БАЛАНС'!G66</f>
        <v>5595</v>
      </c>
      <c r="D89" s="152">
        <f>+C89</f>
        <v>5595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1" t="s">
        <v>744</v>
      </c>
      <c r="B90" s="472" t="s">
        <v>745</v>
      </c>
      <c r="C90" s="147">
        <f>SUM(C91:C93)</f>
        <v>2161</v>
      </c>
      <c r="D90" s="147">
        <f>SUM(D91:D93)</f>
        <v>2161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1" t="s">
        <v>746</v>
      </c>
      <c r="B91" s="472" t="s">
        <v>747</v>
      </c>
      <c r="C91" s="152">
        <v>240</v>
      </c>
      <c r="D91" s="152">
        <f>+C91</f>
        <v>240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1" t="s">
        <v>654</v>
      </c>
      <c r="B92" s="472" t="s">
        <v>748</v>
      </c>
      <c r="C92" s="152">
        <v>1486</v>
      </c>
      <c r="D92" s="152">
        <f>+C92</f>
        <v>1486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1" t="s">
        <v>658</v>
      </c>
      <c r="B93" s="472" t="s">
        <v>749</v>
      </c>
      <c r="C93" s="152">
        <v>435</v>
      </c>
      <c r="D93" s="152">
        <f>+C93</f>
        <v>435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1" t="s">
        <v>750</v>
      </c>
      <c r="B94" s="472" t="s">
        <v>751</v>
      </c>
      <c r="C94" s="152">
        <f>'справка №1-БАЛАНС'!G67</f>
        <v>1262</v>
      </c>
      <c r="D94" s="152">
        <f>+C94</f>
        <v>1262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1" t="s">
        <v>752</v>
      </c>
      <c r="B95" s="472" t="s">
        <v>753</v>
      </c>
      <c r="C95" s="152">
        <f>'справка №1-БАЛАНС'!G69</f>
        <v>4390</v>
      </c>
      <c r="D95" s="152">
        <f>+C95</f>
        <v>4390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3" t="s">
        <v>754</v>
      </c>
      <c r="B96" s="482" t="s">
        <v>755</v>
      </c>
      <c r="C96" s="148">
        <f>C85+C80+C75+C71+C95</f>
        <v>285282</v>
      </c>
      <c r="D96" s="148">
        <f>D85+D80+D75+D71+D95</f>
        <v>285282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8" t="s">
        <v>756</v>
      </c>
      <c r="B97" s="470" t="s">
        <v>757</v>
      </c>
      <c r="C97" s="148">
        <f>C96+C68+C66</f>
        <v>356989</v>
      </c>
      <c r="D97" s="148">
        <f>D96+D68+D66</f>
        <v>285282</v>
      </c>
      <c r="E97" s="148">
        <f>E96+E68+E66</f>
        <v>71707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8"/>
      <c r="B98" s="484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5" t="s">
        <v>758</v>
      </c>
      <c r="B99" s="485"/>
      <c r="C99" s="157"/>
      <c r="D99" s="157"/>
      <c r="E99" s="157"/>
      <c r="F99" s="486" t="s">
        <v>518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459</v>
      </c>
      <c r="B100" s="470" t="s">
        <v>460</v>
      </c>
      <c r="C100" s="159" t="s">
        <v>759</v>
      </c>
      <c r="D100" s="159" t="s">
        <v>760</v>
      </c>
      <c r="E100" s="159" t="s">
        <v>761</v>
      </c>
      <c r="F100" s="159" t="s">
        <v>762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13</v>
      </c>
      <c r="B101" s="470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1" t="s">
        <v>763</v>
      </c>
      <c r="B102" s="472" t="s">
        <v>764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1" t="s">
        <v>765</v>
      </c>
      <c r="B103" s="472" t="s">
        <v>766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1" t="s">
        <v>767</v>
      </c>
      <c r="B104" s="472" t="s">
        <v>768</v>
      </c>
      <c r="C104" s="152">
        <v>100</v>
      </c>
      <c r="D104" s="152"/>
      <c r="E104" s="152"/>
      <c r="F104" s="171">
        <f>C104+D104-E104</f>
        <v>100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7" t="s">
        <v>769</v>
      </c>
      <c r="B105" s="470" t="s">
        <v>770</v>
      </c>
      <c r="C105" s="147">
        <f>SUM(C102:C104)</f>
        <v>100</v>
      </c>
      <c r="D105" s="147">
        <f>SUM(D102:D104)</f>
        <v>0</v>
      </c>
      <c r="E105" s="147">
        <f>SUM(E102:E104)</f>
        <v>0</v>
      </c>
      <c r="F105" s="147">
        <f>SUM(F102:F104)</f>
        <v>100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8" t="s">
        <v>771</v>
      </c>
      <c r="B106" s="489"/>
      <c r="C106" s="475"/>
      <c r="D106" s="475"/>
      <c r="E106" s="475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1" t="s">
        <v>772</v>
      </c>
      <c r="B107" s="621"/>
      <c r="C107" s="621"/>
      <c r="D107" s="621"/>
      <c r="E107" s="621"/>
      <c r="F107" s="621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5"/>
      <c r="B108" s="476"/>
      <c r="C108" s="475"/>
      <c r="D108" s="475"/>
      <c r="E108" s="475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0" t="s">
        <v>897</v>
      </c>
      <c r="B109" s="620"/>
      <c r="C109" s="620" t="s">
        <v>850</v>
      </c>
      <c r="D109" s="620"/>
      <c r="E109" s="620"/>
      <c r="F109" s="62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60"/>
      <c r="B110" s="461"/>
      <c r="C110" s="460"/>
      <c r="D110" s="460"/>
      <c r="E110" s="460"/>
      <c r="F110" s="462"/>
    </row>
    <row r="111" spans="1:6" ht="12">
      <c r="A111" s="460"/>
      <c r="B111" s="461"/>
      <c r="C111" s="619" t="s">
        <v>851</v>
      </c>
      <c r="D111" s="619"/>
      <c r="E111" s="619"/>
      <c r="F111" s="619"/>
    </row>
    <row r="112" spans="1:6" ht="12">
      <c r="A112" s="417"/>
      <c r="B112" s="463"/>
      <c r="C112" s="417"/>
      <c r="D112" s="417"/>
      <c r="E112" s="417"/>
      <c r="F112" s="417"/>
    </row>
    <row r="113" spans="1:6" ht="12">
      <c r="A113" s="417"/>
      <c r="B113" s="463"/>
      <c r="C113" s="417"/>
      <c r="D113" s="417"/>
      <c r="E113" s="417"/>
      <c r="F113" s="417"/>
    </row>
    <row r="114" spans="1:6" ht="12">
      <c r="A114" s="417"/>
      <c r="B114" s="463"/>
      <c r="C114" s="417"/>
      <c r="D114" s="417"/>
      <c r="E114" s="417"/>
      <c r="F114" s="417"/>
    </row>
    <row r="115" spans="1:6" ht="12">
      <c r="A115" s="417"/>
      <c r="B115" s="463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883</v>
      </c>
      <c r="F2" s="500"/>
      <c r="G2" s="500"/>
      <c r="H2" s="498"/>
      <c r="I2" s="498"/>
    </row>
    <row r="3" spans="1:9" ht="12">
      <c r="A3" s="498"/>
      <c r="B3" s="499"/>
      <c r="C3" s="501" t="s">
        <v>774</v>
      </c>
      <c r="D3" s="501"/>
      <c r="E3" s="501"/>
      <c r="F3" s="501"/>
      <c r="G3" s="501"/>
      <c r="H3" s="498"/>
      <c r="I3" s="498"/>
    </row>
    <row r="4" spans="1:9" ht="15" customHeight="1">
      <c r="A4" s="423" t="s">
        <v>379</v>
      </c>
      <c r="B4" s="559"/>
      <c r="C4" s="596" t="str">
        <f>'справка №1-БАЛАНС'!E3</f>
        <v>СОФАРМА АД</v>
      </c>
      <c r="D4" s="602"/>
      <c r="E4" s="602"/>
      <c r="F4" s="559"/>
      <c r="G4" s="561" t="s">
        <v>1</v>
      </c>
      <c r="H4" s="561"/>
      <c r="I4" s="570">
        <f>'справка №1-БАЛАНС'!H3</f>
        <v>831902088</v>
      </c>
    </row>
    <row r="5" spans="1:9" ht="15">
      <c r="A5" s="505" t="s">
        <v>4</v>
      </c>
      <c r="B5" s="560"/>
      <c r="C5" s="596" t="str">
        <f>'справка №1-БАЛАНС'!E5</f>
        <v>01.01.-31.12.2012</v>
      </c>
      <c r="D5" s="627"/>
      <c r="E5" s="627"/>
      <c r="F5" s="560"/>
      <c r="G5" s="349" t="s">
        <v>3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775</v>
      </c>
    </row>
    <row r="7" spans="1:9" s="121" customFormat="1" ht="12">
      <c r="A7" s="189" t="s">
        <v>459</v>
      </c>
      <c r="B7" s="119"/>
      <c r="C7" s="189" t="s">
        <v>776</v>
      </c>
      <c r="D7" s="190"/>
      <c r="E7" s="191"/>
      <c r="F7" s="192" t="s">
        <v>777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778</v>
      </c>
      <c r="D8" s="123" t="s">
        <v>779</v>
      </c>
      <c r="E8" s="123" t="s">
        <v>780</v>
      </c>
      <c r="F8" s="191" t="s">
        <v>781</v>
      </c>
      <c r="G8" s="193" t="s">
        <v>782</v>
      </c>
      <c r="H8" s="193"/>
      <c r="I8" s="193" t="s">
        <v>783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529</v>
      </c>
      <c r="H9" s="120" t="s">
        <v>530</v>
      </c>
      <c r="I9" s="193"/>
    </row>
    <row r="10" spans="1:9" s="114" customFormat="1" ht="12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784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785</v>
      </c>
      <c r="B12" s="131" t="s">
        <v>786</v>
      </c>
      <c r="C12" s="529">
        <v>5251684</v>
      </c>
      <c r="D12" s="140"/>
      <c r="E12" s="140"/>
      <c r="F12" s="140">
        <v>21086</v>
      </c>
      <c r="G12" s="140"/>
      <c r="H12" s="140"/>
      <c r="I12" s="524">
        <f>F12+G12-H12</f>
        <v>21086</v>
      </c>
    </row>
    <row r="13" spans="1:9" s="114" customFormat="1" ht="12">
      <c r="A13" s="116" t="s">
        <v>787</v>
      </c>
      <c r="B13" s="131" t="s">
        <v>788</v>
      </c>
      <c r="C13" s="140"/>
      <c r="D13" s="140"/>
      <c r="E13" s="140"/>
      <c r="F13" s="140"/>
      <c r="G13" s="140"/>
      <c r="H13" s="140"/>
      <c r="I13" s="524">
        <f aca="true" t="shared" si="0" ref="I13:I26">F13+G13-H13</f>
        <v>0</v>
      </c>
    </row>
    <row r="14" spans="1:9" s="114" customFormat="1" ht="12">
      <c r="A14" s="116" t="s">
        <v>589</v>
      </c>
      <c r="B14" s="131" t="s">
        <v>789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790</v>
      </c>
      <c r="B15" s="131" t="s">
        <v>791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77</v>
      </c>
      <c r="B16" s="131" t="s">
        <v>792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558</v>
      </c>
      <c r="B17" s="133" t="s">
        <v>793</v>
      </c>
      <c r="C17" s="126">
        <f aca="true" t="shared" si="1" ref="C17:H17">C12+C13+C15+C16</f>
        <v>5251684</v>
      </c>
      <c r="D17" s="126">
        <f t="shared" si="1"/>
        <v>0</v>
      </c>
      <c r="E17" s="126">
        <f t="shared" si="1"/>
        <v>0</v>
      </c>
      <c r="F17" s="126">
        <f t="shared" si="1"/>
        <v>21086</v>
      </c>
      <c r="G17" s="126">
        <f t="shared" si="1"/>
        <v>0</v>
      </c>
      <c r="H17" s="126">
        <f t="shared" si="1"/>
        <v>0</v>
      </c>
      <c r="I17" s="524">
        <f t="shared" si="0"/>
        <v>21086</v>
      </c>
    </row>
    <row r="18" spans="1:9" s="114" customFormat="1" ht="12">
      <c r="A18" s="129" t="s">
        <v>794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785</v>
      </c>
      <c r="B19" s="131" t="s">
        <v>795</v>
      </c>
      <c r="C19" s="140"/>
      <c r="D19" s="140"/>
      <c r="E19" s="140"/>
      <c r="F19" s="140"/>
      <c r="G19" s="140"/>
      <c r="H19" s="140"/>
      <c r="I19" s="524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796</v>
      </c>
      <c r="B20" s="131" t="s">
        <v>797</v>
      </c>
      <c r="C20" s="140">
        <v>3853735</v>
      </c>
      <c r="D20" s="140"/>
      <c r="E20" s="140"/>
      <c r="F20" s="140">
        <v>13595</v>
      </c>
      <c r="G20" s="140"/>
      <c r="H20" s="140"/>
      <c r="I20" s="524">
        <f t="shared" si="0"/>
        <v>13595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798</v>
      </c>
      <c r="B21" s="131" t="s">
        <v>799</v>
      </c>
      <c r="C21" s="140"/>
      <c r="D21" s="140"/>
      <c r="E21" s="140"/>
      <c r="F21" s="140"/>
      <c r="G21" s="140"/>
      <c r="H21" s="140"/>
      <c r="I21" s="524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800</v>
      </c>
      <c r="B22" s="131" t="s">
        <v>801</v>
      </c>
      <c r="C22" s="140"/>
      <c r="D22" s="140"/>
      <c r="E22" s="140"/>
      <c r="F22" s="530"/>
      <c r="G22" s="140"/>
      <c r="H22" s="140"/>
      <c r="I22" s="524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802</v>
      </c>
      <c r="B23" s="131" t="s">
        <v>803</v>
      </c>
      <c r="C23" s="140"/>
      <c r="D23" s="140"/>
      <c r="E23" s="140"/>
      <c r="F23" s="140"/>
      <c r="G23" s="140"/>
      <c r="H23" s="140"/>
      <c r="I23" s="524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804</v>
      </c>
      <c r="B24" s="131" t="s">
        <v>805</v>
      </c>
      <c r="C24" s="140"/>
      <c r="D24" s="140"/>
      <c r="E24" s="140"/>
      <c r="F24" s="140"/>
      <c r="G24" s="140"/>
      <c r="H24" s="140"/>
      <c r="I24" s="524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806</v>
      </c>
      <c r="B25" s="136" t="s">
        <v>807</v>
      </c>
      <c r="C25" s="140"/>
      <c r="D25" s="140"/>
      <c r="E25" s="140"/>
      <c r="F25" s="140"/>
      <c r="G25" s="140"/>
      <c r="H25" s="140"/>
      <c r="I25" s="524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575</v>
      </c>
      <c r="B26" s="133" t="s">
        <v>808</v>
      </c>
      <c r="C26" s="126">
        <f aca="true" t="shared" si="2" ref="C26:H26">SUM(C19:C25)</f>
        <v>3853735</v>
      </c>
      <c r="D26" s="126">
        <f t="shared" si="2"/>
        <v>0</v>
      </c>
      <c r="E26" s="126">
        <f t="shared" si="2"/>
        <v>0</v>
      </c>
      <c r="F26" s="126">
        <f t="shared" si="2"/>
        <v>13595</v>
      </c>
      <c r="G26" s="126">
        <f t="shared" si="2"/>
        <v>0</v>
      </c>
      <c r="H26" s="126">
        <f t="shared" si="2"/>
        <v>0</v>
      </c>
      <c r="I26" s="524">
        <f t="shared" si="0"/>
        <v>13595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809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893</v>
      </c>
      <c r="B30" s="626"/>
      <c r="C30" s="626"/>
      <c r="D30" s="549" t="s">
        <v>810</v>
      </c>
      <c r="E30" s="625"/>
      <c r="F30" s="625"/>
      <c r="G30" s="625"/>
      <c r="H30" s="502" t="s">
        <v>854</v>
      </c>
      <c r="I30" s="625"/>
      <c r="J30" s="625"/>
    </row>
    <row r="31" spans="1:9" s="114" customFormat="1" ht="12">
      <c r="A31" s="420"/>
      <c r="B31" s="503"/>
      <c r="C31" s="420"/>
      <c r="D31" s="493" t="s">
        <v>852</v>
      </c>
      <c r="E31" s="493"/>
      <c r="F31" s="493"/>
      <c r="G31" s="493"/>
      <c r="H31" s="493" t="s">
        <v>855</v>
      </c>
      <c r="I31" s="493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73">
      <selection activeCell="E147" sqref="E147:F147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882</v>
      </c>
      <c r="B2" s="194"/>
      <c r="C2" s="194"/>
      <c r="D2" s="194"/>
      <c r="E2" s="194"/>
      <c r="F2" s="194"/>
    </row>
    <row r="3" spans="1:6" ht="12.75" customHeight="1">
      <c r="A3" s="194" t="s">
        <v>811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596" t="str">
        <f>'справка №1-БАЛАНС'!E3</f>
        <v>СОФАРМА АД</v>
      </c>
      <c r="C5" s="601"/>
      <c r="D5" s="568"/>
      <c r="E5" s="348" t="s">
        <v>1</v>
      </c>
      <c r="F5" s="571">
        <f>'справка №1-БАЛАНС'!H3</f>
        <v>831902088</v>
      </c>
    </row>
    <row r="6" spans="1:13" ht="15" customHeight="1">
      <c r="A6" s="53" t="s">
        <v>812</v>
      </c>
      <c r="B6" s="596" t="str">
        <f>'справка №1-БАЛАНС'!E5</f>
        <v>01.01.-31.12.2012</v>
      </c>
      <c r="C6" s="627"/>
      <c r="D6" s="54"/>
      <c r="E6" s="349" t="s">
        <v>3</v>
      </c>
      <c r="F6" s="572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10"/>
      <c r="C7" s="629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813</v>
      </c>
      <c r="B8" s="59" t="s">
        <v>7</v>
      </c>
      <c r="C8" s="60" t="s">
        <v>814</v>
      </c>
      <c r="D8" s="60" t="s">
        <v>815</v>
      </c>
      <c r="E8" s="60" t="s">
        <v>816</v>
      </c>
      <c r="F8" s="60" t="s">
        <v>817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818</v>
      </c>
      <c r="B10" s="64"/>
      <c r="C10" s="519"/>
      <c r="D10" s="519"/>
      <c r="E10" s="519"/>
      <c r="F10" s="519"/>
    </row>
    <row r="11" spans="1:6" ht="18" customHeight="1">
      <c r="A11" s="65" t="s">
        <v>819</v>
      </c>
      <c r="B11" s="66"/>
      <c r="C11" s="519"/>
      <c r="D11" s="581"/>
      <c r="E11" s="519"/>
      <c r="F11" s="519"/>
    </row>
    <row r="12" spans="1:6" ht="14.25" customHeight="1">
      <c r="A12" s="65">
        <v>1</v>
      </c>
      <c r="B12" s="66"/>
      <c r="C12" s="531"/>
      <c r="D12" s="582"/>
      <c r="E12" s="531"/>
      <c r="F12" s="533">
        <f>C12-E12</f>
        <v>0</v>
      </c>
    </row>
    <row r="13" spans="1:6" ht="12.75">
      <c r="A13" s="65">
        <v>2</v>
      </c>
      <c r="B13" s="66"/>
      <c r="C13" s="531"/>
      <c r="D13" s="582"/>
      <c r="E13" s="531"/>
      <c r="F13" s="533">
        <f aca="true" t="shared" si="0" ref="F13:F26">C13-E13</f>
        <v>0</v>
      </c>
    </row>
    <row r="14" spans="1:6" ht="12.75">
      <c r="A14" s="65">
        <v>3</v>
      </c>
      <c r="B14" s="66"/>
      <c r="C14" s="531"/>
      <c r="D14" s="582"/>
      <c r="E14" s="531"/>
      <c r="F14" s="533">
        <f t="shared" si="0"/>
        <v>0</v>
      </c>
    </row>
    <row r="15" spans="1:6" ht="12.75">
      <c r="A15" s="65">
        <v>4</v>
      </c>
      <c r="B15" s="66"/>
      <c r="C15" s="531"/>
      <c r="D15" s="582"/>
      <c r="E15" s="531"/>
      <c r="F15" s="533">
        <f t="shared" si="0"/>
        <v>0</v>
      </c>
    </row>
    <row r="16" spans="1:6" ht="12.75">
      <c r="A16" s="65">
        <v>5</v>
      </c>
      <c r="B16" s="66"/>
      <c r="C16" s="531"/>
      <c r="D16" s="582"/>
      <c r="E16" s="531"/>
      <c r="F16" s="533">
        <f t="shared" si="0"/>
        <v>0</v>
      </c>
    </row>
    <row r="17" spans="1:6" ht="12.75">
      <c r="A17" s="65">
        <v>6</v>
      </c>
      <c r="B17" s="66"/>
      <c r="C17" s="531"/>
      <c r="D17" s="582"/>
      <c r="E17" s="531"/>
      <c r="F17" s="533">
        <f t="shared" si="0"/>
        <v>0</v>
      </c>
    </row>
    <row r="18" spans="1:6" ht="12.75">
      <c r="A18" s="65">
        <v>7</v>
      </c>
      <c r="B18" s="66"/>
      <c r="C18" s="531"/>
      <c r="D18" s="582"/>
      <c r="E18" s="531"/>
      <c r="F18" s="533">
        <f t="shared" si="0"/>
        <v>0</v>
      </c>
    </row>
    <row r="19" spans="1:6" ht="12.75">
      <c r="A19" s="65">
        <v>8</v>
      </c>
      <c r="B19" s="66"/>
      <c r="C19" s="531"/>
      <c r="D19" s="582"/>
      <c r="E19" s="531"/>
      <c r="F19" s="533">
        <f t="shared" si="0"/>
        <v>0</v>
      </c>
    </row>
    <row r="20" spans="1:6" ht="12.75">
      <c r="A20" s="65">
        <v>9</v>
      </c>
      <c r="B20" s="66"/>
      <c r="C20" s="531"/>
      <c r="D20" s="582"/>
      <c r="E20" s="531"/>
      <c r="F20" s="533">
        <f t="shared" si="0"/>
        <v>0</v>
      </c>
    </row>
    <row r="21" spans="1:6" ht="12.75">
      <c r="A21" s="65">
        <v>10</v>
      </c>
      <c r="B21" s="66"/>
      <c r="C21" s="531"/>
      <c r="D21" s="582"/>
      <c r="E21" s="531"/>
      <c r="F21" s="533">
        <f t="shared" si="0"/>
        <v>0</v>
      </c>
    </row>
    <row r="22" spans="1:6" ht="12.75">
      <c r="A22" s="65">
        <v>11</v>
      </c>
      <c r="B22" s="66"/>
      <c r="C22" s="531"/>
      <c r="D22" s="582"/>
      <c r="E22" s="531"/>
      <c r="F22" s="533">
        <f t="shared" si="0"/>
        <v>0</v>
      </c>
    </row>
    <row r="23" spans="1:6" ht="12.75">
      <c r="A23" s="65">
        <v>12</v>
      </c>
      <c r="B23" s="66"/>
      <c r="C23" s="531"/>
      <c r="D23" s="582"/>
      <c r="E23" s="531"/>
      <c r="F23" s="533">
        <f t="shared" si="0"/>
        <v>0</v>
      </c>
    </row>
    <row r="24" spans="1:6" ht="12.75">
      <c r="A24" s="65">
        <v>13</v>
      </c>
      <c r="B24" s="66"/>
      <c r="C24" s="531"/>
      <c r="D24" s="582"/>
      <c r="E24" s="531"/>
      <c r="F24" s="533">
        <f t="shared" si="0"/>
        <v>0</v>
      </c>
    </row>
    <row r="25" spans="1:6" ht="12" customHeight="1">
      <c r="A25" s="65">
        <v>14</v>
      </c>
      <c r="B25" s="66"/>
      <c r="C25" s="531"/>
      <c r="D25" s="582"/>
      <c r="E25" s="531"/>
      <c r="F25" s="533">
        <f t="shared" si="0"/>
        <v>0</v>
      </c>
    </row>
    <row r="26" spans="1:6" ht="12.75">
      <c r="A26" s="65">
        <v>15</v>
      </c>
      <c r="B26" s="66"/>
      <c r="C26" s="531"/>
      <c r="D26" s="582"/>
      <c r="E26" s="531"/>
      <c r="F26" s="533">
        <f t="shared" si="0"/>
        <v>0</v>
      </c>
    </row>
    <row r="27" spans="1:16" ht="11.25" customHeight="1">
      <c r="A27" s="67" t="s">
        <v>558</v>
      </c>
      <c r="B27" s="68" t="s">
        <v>820</v>
      </c>
      <c r="C27" s="519">
        <f>SUM(C12:C26)</f>
        <v>0</v>
      </c>
      <c r="D27" s="581"/>
      <c r="E27" s="519">
        <f>SUM(E12:E26)</f>
        <v>0</v>
      </c>
      <c r="F27" s="532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65" t="s">
        <v>821</v>
      </c>
      <c r="B28" s="69"/>
      <c r="C28" s="519"/>
      <c r="D28" s="581"/>
      <c r="E28" s="519"/>
      <c r="F28" s="532"/>
    </row>
    <row r="29" spans="1:6" ht="12.75">
      <c r="A29" s="65" t="s">
        <v>537</v>
      </c>
      <c r="B29" s="69"/>
      <c r="C29" s="531"/>
      <c r="D29" s="582"/>
      <c r="E29" s="531"/>
      <c r="F29" s="533">
        <f>C29-E29</f>
        <v>0</v>
      </c>
    </row>
    <row r="30" spans="1:6" ht="12.75">
      <c r="A30" s="65" t="s">
        <v>540</v>
      </c>
      <c r="B30" s="69"/>
      <c r="C30" s="531"/>
      <c r="D30" s="582"/>
      <c r="E30" s="531"/>
      <c r="F30" s="533">
        <f aca="true" t="shared" si="1" ref="F30:F43">C30-E30</f>
        <v>0</v>
      </c>
    </row>
    <row r="31" spans="1:6" ht="12.75">
      <c r="A31" s="65" t="s">
        <v>543</v>
      </c>
      <c r="B31" s="69"/>
      <c r="C31" s="531"/>
      <c r="D31" s="582"/>
      <c r="E31" s="531"/>
      <c r="F31" s="533">
        <f t="shared" si="1"/>
        <v>0</v>
      </c>
    </row>
    <row r="32" spans="1:6" ht="12.75">
      <c r="A32" s="65" t="s">
        <v>546</v>
      </c>
      <c r="B32" s="69"/>
      <c r="C32" s="531"/>
      <c r="D32" s="582"/>
      <c r="E32" s="531"/>
      <c r="F32" s="533">
        <f t="shared" si="1"/>
        <v>0</v>
      </c>
    </row>
    <row r="33" spans="1:6" ht="12.75">
      <c r="A33" s="65">
        <v>5</v>
      </c>
      <c r="B33" s="66"/>
      <c r="C33" s="531"/>
      <c r="D33" s="582"/>
      <c r="E33" s="531"/>
      <c r="F33" s="533">
        <f t="shared" si="1"/>
        <v>0</v>
      </c>
    </row>
    <row r="34" spans="1:6" ht="12.75">
      <c r="A34" s="65">
        <v>6</v>
      </c>
      <c r="B34" s="66"/>
      <c r="C34" s="531"/>
      <c r="D34" s="582"/>
      <c r="E34" s="531"/>
      <c r="F34" s="533">
        <f t="shared" si="1"/>
        <v>0</v>
      </c>
    </row>
    <row r="35" spans="1:6" ht="12.75">
      <c r="A35" s="65">
        <v>7</v>
      </c>
      <c r="B35" s="66"/>
      <c r="C35" s="531"/>
      <c r="D35" s="582"/>
      <c r="E35" s="531"/>
      <c r="F35" s="533">
        <f t="shared" si="1"/>
        <v>0</v>
      </c>
    </row>
    <row r="36" spans="1:6" ht="12.75">
      <c r="A36" s="65">
        <v>8</v>
      </c>
      <c r="B36" s="66"/>
      <c r="C36" s="531"/>
      <c r="D36" s="582"/>
      <c r="E36" s="531"/>
      <c r="F36" s="533">
        <f t="shared" si="1"/>
        <v>0</v>
      </c>
    </row>
    <row r="37" spans="1:6" ht="12.75">
      <c r="A37" s="65">
        <v>9</v>
      </c>
      <c r="B37" s="66"/>
      <c r="C37" s="531"/>
      <c r="D37" s="582"/>
      <c r="E37" s="531"/>
      <c r="F37" s="533">
        <f t="shared" si="1"/>
        <v>0</v>
      </c>
    </row>
    <row r="38" spans="1:6" ht="12.75">
      <c r="A38" s="65">
        <v>10</v>
      </c>
      <c r="B38" s="66"/>
      <c r="C38" s="531"/>
      <c r="D38" s="582"/>
      <c r="E38" s="531"/>
      <c r="F38" s="533">
        <f t="shared" si="1"/>
        <v>0</v>
      </c>
    </row>
    <row r="39" spans="1:6" ht="12.75">
      <c r="A39" s="65">
        <v>11</v>
      </c>
      <c r="B39" s="66"/>
      <c r="C39" s="531"/>
      <c r="D39" s="582"/>
      <c r="E39" s="531"/>
      <c r="F39" s="533">
        <f t="shared" si="1"/>
        <v>0</v>
      </c>
    </row>
    <row r="40" spans="1:6" ht="12.75">
      <c r="A40" s="65">
        <v>12</v>
      </c>
      <c r="B40" s="66"/>
      <c r="C40" s="531"/>
      <c r="D40" s="582"/>
      <c r="E40" s="531"/>
      <c r="F40" s="533">
        <f t="shared" si="1"/>
        <v>0</v>
      </c>
    </row>
    <row r="41" spans="1:6" ht="12.75">
      <c r="A41" s="65">
        <v>13</v>
      </c>
      <c r="B41" s="66"/>
      <c r="C41" s="531"/>
      <c r="D41" s="582"/>
      <c r="E41" s="531"/>
      <c r="F41" s="533">
        <f t="shared" si="1"/>
        <v>0</v>
      </c>
    </row>
    <row r="42" spans="1:6" ht="12" customHeight="1">
      <c r="A42" s="65">
        <v>14</v>
      </c>
      <c r="B42" s="66"/>
      <c r="C42" s="531"/>
      <c r="D42" s="582"/>
      <c r="E42" s="531"/>
      <c r="F42" s="533">
        <f t="shared" si="1"/>
        <v>0</v>
      </c>
    </row>
    <row r="43" spans="1:6" ht="12.75">
      <c r="A43" s="65">
        <v>15</v>
      </c>
      <c r="B43" s="66"/>
      <c r="C43" s="531"/>
      <c r="D43" s="582"/>
      <c r="E43" s="531"/>
      <c r="F43" s="533">
        <f t="shared" si="1"/>
        <v>0</v>
      </c>
    </row>
    <row r="44" spans="1:16" ht="15" customHeight="1">
      <c r="A44" s="67" t="s">
        <v>575</v>
      </c>
      <c r="B44" s="68" t="s">
        <v>822</v>
      </c>
      <c r="C44" s="519">
        <f>SUM(C29:C43)</f>
        <v>0</v>
      </c>
      <c r="D44" s="581"/>
      <c r="E44" s="519">
        <f>SUM(E29:E43)</f>
        <v>0</v>
      </c>
      <c r="F44" s="532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65" t="s">
        <v>823</v>
      </c>
      <c r="B45" s="69"/>
      <c r="C45" s="519"/>
      <c r="D45" s="581"/>
      <c r="E45" s="519"/>
      <c r="F45" s="532"/>
    </row>
    <row r="46" spans="1:6" ht="12.75">
      <c r="A46" s="65">
        <v>1</v>
      </c>
      <c r="B46" s="69"/>
      <c r="C46" s="531"/>
      <c r="D46" s="582"/>
      <c r="E46" s="531">
        <f>+C46</f>
        <v>0</v>
      </c>
      <c r="F46" s="533">
        <f>C46-E46</f>
        <v>0</v>
      </c>
    </row>
    <row r="47" spans="1:6" ht="12.75">
      <c r="A47" s="65" t="s">
        <v>540</v>
      </c>
      <c r="B47" s="69"/>
      <c r="C47" s="531"/>
      <c r="D47" s="582"/>
      <c r="E47" s="531"/>
      <c r="F47" s="533">
        <f aca="true" t="shared" si="2" ref="F47:F60">C47-E47</f>
        <v>0</v>
      </c>
    </row>
    <row r="48" spans="1:6" ht="12.75">
      <c r="A48" s="65" t="s">
        <v>543</v>
      </c>
      <c r="B48" s="69"/>
      <c r="C48" s="531"/>
      <c r="D48" s="582"/>
      <c r="E48" s="531"/>
      <c r="F48" s="533">
        <f t="shared" si="2"/>
        <v>0</v>
      </c>
    </row>
    <row r="49" spans="1:6" ht="12.75">
      <c r="A49" s="65" t="s">
        <v>546</v>
      </c>
      <c r="B49" s="69"/>
      <c r="C49" s="531"/>
      <c r="D49" s="582"/>
      <c r="E49" s="531"/>
      <c r="F49" s="533">
        <f t="shared" si="2"/>
        <v>0</v>
      </c>
    </row>
    <row r="50" spans="1:6" ht="12.75">
      <c r="A50" s="65">
        <v>5</v>
      </c>
      <c r="B50" s="66"/>
      <c r="C50" s="531"/>
      <c r="D50" s="582"/>
      <c r="E50" s="531"/>
      <c r="F50" s="533">
        <f t="shared" si="2"/>
        <v>0</v>
      </c>
    </row>
    <row r="51" spans="1:6" ht="12.75">
      <c r="A51" s="65">
        <v>6</v>
      </c>
      <c r="B51" s="66"/>
      <c r="C51" s="531"/>
      <c r="D51" s="582"/>
      <c r="E51" s="531"/>
      <c r="F51" s="533">
        <f t="shared" si="2"/>
        <v>0</v>
      </c>
    </row>
    <row r="52" spans="1:6" ht="12.75">
      <c r="A52" s="65">
        <v>7</v>
      </c>
      <c r="B52" s="66"/>
      <c r="C52" s="531"/>
      <c r="D52" s="582"/>
      <c r="E52" s="531"/>
      <c r="F52" s="533">
        <f t="shared" si="2"/>
        <v>0</v>
      </c>
    </row>
    <row r="53" spans="1:6" ht="12.75">
      <c r="A53" s="65">
        <v>8</v>
      </c>
      <c r="B53" s="66"/>
      <c r="C53" s="531"/>
      <c r="D53" s="582"/>
      <c r="E53" s="531"/>
      <c r="F53" s="533">
        <f t="shared" si="2"/>
        <v>0</v>
      </c>
    </row>
    <row r="54" spans="1:6" ht="12.75">
      <c r="A54" s="65">
        <v>9</v>
      </c>
      <c r="B54" s="66"/>
      <c r="C54" s="531"/>
      <c r="D54" s="582"/>
      <c r="E54" s="531"/>
      <c r="F54" s="533">
        <f t="shared" si="2"/>
        <v>0</v>
      </c>
    </row>
    <row r="55" spans="1:6" ht="12.75">
      <c r="A55" s="65">
        <v>10</v>
      </c>
      <c r="B55" s="66"/>
      <c r="C55" s="531"/>
      <c r="D55" s="582"/>
      <c r="E55" s="531"/>
      <c r="F55" s="533">
        <f t="shared" si="2"/>
        <v>0</v>
      </c>
    </row>
    <row r="56" spans="1:6" ht="12.75">
      <c r="A56" s="65">
        <v>11</v>
      </c>
      <c r="B56" s="66"/>
      <c r="C56" s="531"/>
      <c r="D56" s="582"/>
      <c r="E56" s="531"/>
      <c r="F56" s="533">
        <f t="shared" si="2"/>
        <v>0</v>
      </c>
    </row>
    <row r="57" spans="1:6" ht="12.75">
      <c r="A57" s="65">
        <v>12</v>
      </c>
      <c r="B57" s="66"/>
      <c r="C57" s="531"/>
      <c r="D57" s="582"/>
      <c r="E57" s="531"/>
      <c r="F57" s="533">
        <f t="shared" si="2"/>
        <v>0</v>
      </c>
    </row>
    <row r="58" spans="1:6" ht="12.75">
      <c r="A58" s="65">
        <v>13</v>
      </c>
      <c r="B58" s="66"/>
      <c r="C58" s="531"/>
      <c r="D58" s="582"/>
      <c r="E58" s="531"/>
      <c r="F58" s="533">
        <f t="shared" si="2"/>
        <v>0</v>
      </c>
    </row>
    <row r="59" spans="1:6" ht="12" customHeight="1">
      <c r="A59" s="65">
        <v>14</v>
      </c>
      <c r="B59" s="66"/>
      <c r="C59" s="531"/>
      <c r="D59" s="582"/>
      <c r="E59" s="531"/>
      <c r="F59" s="533">
        <f t="shared" si="2"/>
        <v>0</v>
      </c>
    </row>
    <row r="60" spans="1:6" ht="12.75">
      <c r="A60" s="65">
        <v>15</v>
      </c>
      <c r="B60" s="66"/>
      <c r="C60" s="531"/>
      <c r="D60" s="582"/>
      <c r="E60" s="531"/>
      <c r="F60" s="533">
        <f t="shared" si="2"/>
        <v>0</v>
      </c>
    </row>
    <row r="61" spans="1:16" ht="12" customHeight="1">
      <c r="A61" s="67" t="s">
        <v>594</v>
      </c>
      <c r="B61" s="68" t="s">
        <v>824</v>
      </c>
      <c r="C61" s="519">
        <f>SUM(C46:C60)</f>
        <v>0</v>
      </c>
      <c r="D61" s="581"/>
      <c r="E61" s="519">
        <f>SUM(E46:E60)</f>
        <v>0</v>
      </c>
      <c r="F61" s="532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65" t="s">
        <v>825</v>
      </c>
      <c r="B62" s="69"/>
      <c r="C62" s="519"/>
      <c r="D62" s="581"/>
      <c r="E62" s="519"/>
      <c r="F62" s="532"/>
    </row>
    <row r="63" spans="1:6" ht="12.75">
      <c r="A63" s="65" t="s">
        <v>857</v>
      </c>
      <c r="B63" s="69"/>
      <c r="C63" s="531">
        <v>14081</v>
      </c>
      <c r="D63" s="582">
        <v>0.188</v>
      </c>
      <c r="E63" s="531">
        <f>+C63</f>
        <v>14081</v>
      </c>
      <c r="F63" s="533">
        <f>C63-E63</f>
        <v>0</v>
      </c>
    </row>
    <row r="64" spans="1:6" ht="12.75">
      <c r="A64" s="65" t="s">
        <v>867</v>
      </c>
      <c r="B64" s="69"/>
      <c r="C64" s="531">
        <v>2245</v>
      </c>
      <c r="D64" s="582">
        <v>0.102</v>
      </c>
      <c r="E64" s="531">
        <f>+C64</f>
        <v>2245</v>
      </c>
      <c r="F64" s="533">
        <f aca="true" t="shared" si="3" ref="F64:F76">C64-E64</f>
        <v>0</v>
      </c>
    </row>
    <row r="65" spans="1:6" ht="12.75">
      <c r="A65" s="65" t="s">
        <v>868</v>
      </c>
      <c r="B65" s="69"/>
      <c r="C65" s="531">
        <v>7</v>
      </c>
      <c r="D65" s="582">
        <v>0.0148</v>
      </c>
      <c r="E65" s="531"/>
      <c r="F65" s="533">
        <f t="shared" si="3"/>
        <v>7</v>
      </c>
    </row>
    <row r="66" spans="1:6" ht="12.75">
      <c r="A66" s="65" t="s">
        <v>869</v>
      </c>
      <c r="B66" s="66"/>
      <c r="C66" s="531">
        <v>269</v>
      </c>
      <c r="D66" s="582">
        <v>0.062</v>
      </c>
      <c r="E66" s="531">
        <f>+C66</f>
        <v>269</v>
      </c>
      <c r="F66" s="533">
        <f t="shared" si="3"/>
        <v>0</v>
      </c>
    </row>
    <row r="67" spans="1:6" ht="12.75">
      <c r="A67" s="65" t="s">
        <v>870</v>
      </c>
      <c r="B67" s="66"/>
      <c r="C67" s="531">
        <v>3</v>
      </c>
      <c r="D67" s="583">
        <v>1E-05</v>
      </c>
      <c r="E67" s="531">
        <f>+C67</f>
        <v>3</v>
      </c>
      <c r="F67" s="533">
        <f t="shared" si="3"/>
        <v>0</v>
      </c>
    </row>
    <row r="68" spans="1:6" ht="12.75">
      <c r="A68" s="65" t="s">
        <v>871</v>
      </c>
      <c r="B68" s="66"/>
      <c r="C68" s="531">
        <v>15</v>
      </c>
      <c r="D68" s="582">
        <v>0.005</v>
      </c>
      <c r="E68" s="531">
        <v>0</v>
      </c>
      <c r="F68" s="533">
        <f t="shared" si="3"/>
        <v>15</v>
      </c>
    </row>
    <row r="69" spans="1:6" ht="12.75">
      <c r="A69" s="65" t="s">
        <v>872</v>
      </c>
      <c r="B69" s="66"/>
      <c r="C69" s="531">
        <v>70</v>
      </c>
      <c r="D69" s="582">
        <v>0.0033</v>
      </c>
      <c r="E69" s="531">
        <v>0</v>
      </c>
      <c r="F69" s="533">
        <f t="shared" si="3"/>
        <v>70</v>
      </c>
    </row>
    <row r="70" spans="1:6" ht="12.75">
      <c r="A70" s="65" t="s">
        <v>873</v>
      </c>
      <c r="B70" s="66"/>
      <c r="C70" s="531">
        <v>373</v>
      </c>
      <c r="D70" s="582">
        <v>0.0933</v>
      </c>
      <c r="E70" s="531">
        <f>+C70</f>
        <v>373</v>
      </c>
      <c r="F70" s="533">
        <f t="shared" si="3"/>
        <v>0</v>
      </c>
    </row>
    <row r="71" spans="1:6" ht="12.75">
      <c r="A71" s="65" t="s">
        <v>874</v>
      </c>
      <c r="B71" s="66"/>
      <c r="C71" s="531">
        <v>233</v>
      </c>
      <c r="D71" s="583">
        <v>0.007</v>
      </c>
      <c r="E71" s="531">
        <f>+C71</f>
        <v>233</v>
      </c>
      <c r="F71" s="533">
        <f t="shared" si="3"/>
        <v>0</v>
      </c>
    </row>
    <row r="72" spans="1:6" ht="12.75">
      <c r="A72" s="65" t="s">
        <v>875</v>
      </c>
      <c r="B72" s="66"/>
      <c r="C72" s="531">
        <v>2</v>
      </c>
      <c r="D72" s="582">
        <v>0.0001</v>
      </c>
      <c r="E72" s="531">
        <v>0</v>
      </c>
      <c r="F72" s="533">
        <f t="shared" si="3"/>
        <v>2</v>
      </c>
    </row>
    <row r="73" spans="1:6" ht="12.75">
      <c r="A73" s="65" t="s">
        <v>876</v>
      </c>
      <c r="B73" s="66"/>
      <c r="C73" s="531">
        <v>665</v>
      </c>
      <c r="D73" s="582">
        <v>0.19</v>
      </c>
      <c r="E73" s="531">
        <v>0</v>
      </c>
      <c r="F73" s="533">
        <f t="shared" si="3"/>
        <v>665</v>
      </c>
    </row>
    <row r="74" spans="1:6" ht="12" customHeight="1">
      <c r="A74" s="65" t="s">
        <v>880</v>
      </c>
      <c r="B74" s="66"/>
      <c r="C74" s="531">
        <v>0</v>
      </c>
      <c r="D74" s="582">
        <v>0</v>
      </c>
      <c r="E74" s="531">
        <v>0</v>
      </c>
      <c r="F74" s="533">
        <f t="shared" si="3"/>
        <v>0</v>
      </c>
    </row>
    <row r="75" spans="1:6" ht="12.75">
      <c r="A75" s="65" t="s">
        <v>877</v>
      </c>
      <c r="B75" s="66"/>
      <c r="C75" s="531">
        <v>12</v>
      </c>
      <c r="D75" s="582">
        <v>0.003</v>
      </c>
      <c r="E75" s="531">
        <v>0</v>
      </c>
      <c r="F75" s="533">
        <f t="shared" si="3"/>
        <v>12</v>
      </c>
    </row>
    <row r="76" spans="1:6" ht="12.75">
      <c r="A76" s="65" t="s">
        <v>879</v>
      </c>
      <c r="B76" s="66"/>
      <c r="C76" s="531">
        <v>0</v>
      </c>
      <c r="D76" s="582">
        <v>0</v>
      </c>
      <c r="E76" s="531">
        <v>0</v>
      </c>
      <c r="F76" s="533">
        <f t="shared" si="3"/>
        <v>0</v>
      </c>
    </row>
    <row r="77" spans="1:6" ht="12.75">
      <c r="A77" s="65" t="s">
        <v>881</v>
      </c>
      <c r="B77" s="66"/>
      <c r="C77" s="531">
        <v>723</v>
      </c>
      <c r="D77" s="582">
        <v>0.0847</v>
      </c>
      <c r="E77" s="531">
        <v>723</v>
      </c>
      <c r="F77" s="533">
        <f>C77-E77</f>
        <v>0</v>
      </c>
    </row>
    <row r="78" spans="1:6" ht="12.75">
      <c r="A78" s="65" t="s">
        <v>886</v>
      </c>
      <c r="B78" s="66"/>
      <c r="C78" s="531">
        <v>104</v>
      </c>
      <c r="D78" s="582">
        <v>0.0001</v>
      </c>
      <c r="E78" s="531">
        <f>C78</f>
        <v>104</v>
      </c>
      <c r="F78" s="533"/>
    </row>
    <row r="79" spans="1:6" ht="12.75">
      <c r="A79" s="65" t="s">
        <v>887</v>
      </c>
      <c r="B79" s="66"/>
      <c r="C79" s="531">
        <v>47</v>
      </c>
      <c r="D79" s="582">
        <v>0.0497</v>
      </c>
      <c r="E79" s="531">
        <v>47</v>
      </c>
      <c r="F79" s="533">
        <f>C79-E79</f>
        <v>0</v>
      </c>
    </row>
    <row r="80" spans="1:16" ht="14.25" customHeight="1">
      <c r="A80" s="67" t="s">
        <v>826</v>
      </c>
      <c r="B80" s="68" t="s">
        <v>827</v>
      </c>
      <c r="C80" s="519">
        <f>SUM(C63:C79)</f>
        <v>18849</v>
      </c>
      <c r="D80" s="581"/>
      <c r="E80" s="519">
        <f>SUM(E63:E79)</f>
        <v>18078</v>
      </c>
      <c r="F80" s="532">
        <f>SUM(F63:F79)</f>
        <v>771</v>
      </c>
      <c r="G80" s="509"/>
      <c r="H80" s="509"/>
      <c r="I80" s="509"/>
      <c r="J80" s="509"/>
      <c r="K80" s="509"/>
      <c r="L80" s="509"/>
      <c r="M80" s="509"/>
      <c r="N80" s="509"/>
      <c r="O80" s="509"/>
      <c r="P80" s="509"/>
    </row>
    <row r="81" spans="1:16" ht="20.25" customHeight="1">
      <c r="A81" s="70" t="s">
        <v>828</v>
      </c>
      <c r="B81" s="68" t="s">
        <v>829</v>
      </c>
      <c r="C81" s="519">
        <f>C80+C61+C44+C27</f>
        <v>18849</v>
      </c>
      <c r="D81" s="581"/>
      <c r="E81" s="519">
        <f>E80+E61+E44+E27</f>
        <v>18078</v>
      </c>
      <c r="F81" s="532">
        <f>F80+F61+F44+F27</f>
        <v>771</v>
      </c>
      <c r="G81" s="509"/>
      <c r="H81" s="509"/>
      <c r="I81" s="509"/>
      <c r="J81" s="509"/>
      <c r="K81" s="509"/>
      <c r="L81" s="509"/>
      <c r="M81" s="509"/>
      <c r="N81" s="509"/>
      <c r="O81" s="509"/>
      <c r="P81" s="509"/>
    </row>
    <row r="82" spans="1:6" ht="15" customHeight="1">
      <c r="A82" s="63" t="s">
        <v>830</v>
      </c>
      <c r="B82" s="68"/>
      <c r="C82" s="519"/>
      <c r="D82" s="581"/>
      <c r="E82" s="519"/>
      <c r="F82" s="532"/>
    </row>
    <row r="83" spans="1:6" ht="14.25" customHeight="1">
      <c r="A83" s="65" t="s">
        <v>819</v>
      </c>
      <c r="B83" s="69"/>
      <c r="C83" s="519"/>
      <c r="D83" s="581"/>
      <c r="E83" s="519"/>
      <c r="F83" s="532"/>
    </row>
    <row r="84" spans="1:6" ht="12.75">
      <c r="A84" s="65">
        <v>1</v>
      </c>
      <c r="B84" s="69"/>
      <c r="C84" s="531"/>
      <c r="D84" s="582"/>
      <c r="E84" s="531"/>
      <c r="F84" s="533">
        <f>C84-E84</f>
        <v>0</v>
      </c>
    </row>
    <row r="85" spans="1:6" ht="12.75">
      <c r="A85" s="65">
        <v>2</v>
      </c>
      <c r="B85" s="69"/>
      <c r="C85" s="531"/>
      <c r="D85" s="582"/>
      <c r="E85" s="531"/>
      <c r="F85" s="533">
        <f aca="true" t="shared" si="4" ref="F85:F98">C85-E85</f>
        <v>0</v>
      </c>
    </row>
    <row r="86" spans="1:6" ht="12.75">
      <c r="A86" s="65">
        <v>3</v>
      </c>
      <c r="B86" s="69"/>
      <c r="C86" s="531"/>
      <c r="D86" s="582"/>
      <c r="E86" s="531"/>
      <c r="F86" s="533">
        <f t="shared" si="4"/>
        <v>0</v>
      </c>
    </row>
    <row r="87" spans="1:6" ht="12.75">
      <c r="A87" s="65">
        <v>4</v>
      </c>
      <c r="B87" s="69"/>
      <c r="C87" s="531"/>
      <c r="D87" s="582"/>
      <c r="E87" s="531"/>
      <c r="F87" s="533">
        <f t="shared" si="4"/>
        <v>0</v>
      </c>
    </row>
    <row r="88" spans="1:6" ht="12.75">
      <c r="A88" s="65">
        <v>5</v>
      </c>
      <c r="B88" s="66"/>
      <c r="C88" s="531"/>
      <c r="D88" s="582"/>
      <c r="E88" s="531"/>
      <c r="F88" s="533">
        <f t="shared" si="4"/>
        <v>0</v>
      </c>
    </row>
    <row r="89" spans="1:6" ht="12.75">
      <c r="A89" s="65">
        <v>6</v>
      </c>
      <c r="B89" s="66"/>
      <c r="C89" s="531"/>
      <c r="D89" s="582"/>
      <c r="E89" s="531"/>
      <c r="F89" s="533">
        <f t="shared" si="4"/>
        <v>0</v>
      </c>
    </row>
    <row r="90" spans="1:6" ht="12.75">
      <c r="A90" s="65">
        <v>7</v>
      </c>
      <c r="B90" s="66"/>
      <c r="C90" s="531"/>
      <c r="D90" s="582"/>
      <c r="E90" s="531"/>
      <c r="F90" s="533">
        <f t="shared" si="4"/>
        <v>0</v>
      </c>
    </row>
    <row r="91" spans="1:6" ht="12.75">
      <c r="A91" s="65">
        <v>8</v>
      </c>
      <c r="B91" s="66"/>
      <c r="C91" s="531"/>
      <c r="D91" s="582"/>
      <c r="E91" s="531"/>
      <c r="F91" s="533">
        <f t="shared" si="4"/>
        <v>0</v>
      </c>
    </row>
    <row r="92" spans="1:6" ht="12" customHeight="1">
      <c r="A92" s="65">
        <v>9</v>
      </c>
      <c r="B92" s="66"/>
      <c r="C92" s="531"/>
      <c r="D92" s="582"/>
      <c r="E92" s="531"/>
      <c r="F92" s="533">
        <f t="shared" si="4"/>
        <v>0</v>
      </c>
    </row>
    <row r="93" spans="1:6" ht="12.75">
      <c r="A93" s="65">
        <v>10</v>
      </c>
      <c r="B93" s="66"/>
      <c r="C93" s="531"/>
      <c r="D93" s="582"/>
      <c r="E93" s="531"/>
      <c r="F93" s="533">
        <f t="shared" si="4"/>
        <v>0</v>
      </c>
    </row>
    <row r="94" spans="1:6" ht="12.75">
      <c r="A94" s="65">
        <v>11</v>
      </c>
      <c r="B94" s="66"/>
      <c r="C94" s="531"/>
      <c r="D94" s="582"/>
      <c r="E94" s="531"/>
      <c r="F94" s="533">
        <f t="shared" si="4"/>
        <v>0</v>
      </c>
    </row>
    <row r="95" spans="1:6" ht="12.75">
      <c r="A95" s="65">
        <v>12</v>
      </c>
      <c r="B95" s="66"/>
      <c r="C95" s="531"/>
      <c r="D95" s="582"/>
      <c r="E95" s="531"/>
      <c r="F95" s="533">
        <f t="shared" si="4"/>
        <v>0</v>
      </c>
    </row>
    <row r="96" spans="1:6" ht="12.75">
      <c r="A96" s="65">
        <v>13</v>
      </c>
      <c r="B96" s="66"/>
      <c r="C96" s="531"/>
      <c r="D96" s="582"/>
      <c r="E96" s="531"/>
      <c r="F96" s="533">
        <f t="shared" si="4"/>
        <v>0</v>
      </c>
    </row>
    <row r="97" spans="1:6" ht="12" customHeight="1">
      <c r="A97" s="65">
        <v>14</v>
      </c>
      <c r="B97" s="66"/>
      <c r="C97" s="531"/>
      <c r="D97" s="582"/>
      <c r="E97" s="531"/>
      <c r="F97" s="533">
        <f t="shared" si="4"/>
        <v>0</v>
      </c>
    </row>
    <row r="98" spans="1:6" ht="12.75">
      <c r="A98" s="65">
        <v>15</v>
      </c>
      <c r="B98" s="66"/>
      <c r="C98" s="531"/>
      <c r="D98" s="582"/>
      <c r="E98" s="531"/>
      <c r="F98" s="533">
        <f t="shared" si="4"/>
        <v>0</v>
      </c>
    </row>
    <row r="99" spans="1:16" ht="15" customHeight="1">
      <c r="A99" s="67" t="s">
        <v>558</v>
      </c>
      <c r="B99" s="68" t="s">
        <v>831</v>
      </c>
      <c r="C99" s="519">
        <f>SUM(C84:C98)</f>
        <v>0</v>
      </c>
      <c r="D99" s="581"/>
      <c r="E99" s="519">
        <f>SUM(E84:E98)</f>
        <v>0</v>
      </c>
      <c r="F99" s="532">
        <f>SUM(F84:F98)</f>
        <v>0</v>
      </c>
      <c r="G99" s="509"/>
      <c r="H99" s="509"/>
      <c r="I99" s="509"/>
      <c r="J99" s="509"/>
      <c r="K99" s="509"/>
      <c r="L99" s="509"/>
      <c r="M99" s="509"/>
      <c r="N99" s="509"/>
      <c r="O99" s="509"/>
      <c r="P99" s="509"/>
    </row>
    <row r="100" spans="1:6" ht="15.75" customHeight="1">
      <c r="A100" s="65" t="s">
        <v>821</v>
      </c>
      <c r="B100" s="69"/>
      <c r="C100" s="519"/>
      <c r="D100" s="581"/>
      <c r="E100" s="519"/>
      <c r="F100" s="532"/>
    </row>
    <row r="101" spans="1:6" ht="12.75">
      <c r="A101" s="65" t="s">
        <v>537</v>
      </c>
      <c r="B101" s="69"/>
      <c r="C101" s="531"/>
      <c r="D101" s="582"/>
      <c r="E101" s="531"/>
      <c r="F101" s="533">
        <f>C101-E101</f>
        <v>0</v>
      </c>
    </row>
    <row r="102" spans="1:6" ht="12.75">
      <c r="A102" s="65" t="s">
        <v>540</v>
      </c>
      <c r="B102" s="69"/>
      <c r="C102" s="531"/>
      <c r="D102" s="582"/>
      <c r="E102" s="531"/>
      <c r="F102" s="533">
        <f aca="true" t="shared" si="5" ref="F102:F115">C102-E102</f>
        <v>0</v>
      </c>
    </row>
    <row r="103" spans="1:6" ht="12.75">
      <c r="A103" s="65" t="s">
        <v>543</v>
      </c>
      <c r="B103" s="69"/>
      <c r="C103" s="531"/>
      <c r="D103" s="582"/>
      <c r="E103" s="531"/>
      <c r="F103" s="533">
        <f t="shared" si="5"/>
        <v>0</v>
      </c>
    </row>
    <row r="104" spans="1:6" ht="12.75">
      <c r="A104" s="65" t="s">
        <v>546</v>
      </c>
      <c r="B104" s="69"/>
      <c r="C104" s="531"/>
      <c r="D104" s="582"/>
      <c r="E104" s="531"/>
      <c r="F104" s="533">
        <f t="shared" si="5"/>
        <v>0</v>
      </c>
    </row>
    <row r="105" spans="1:6" ht="12.75">
      <c r="A105" s="65">
        <v>5</v>
      </c>
      <c r="B105" s="66"/>
      <c r="C105" s="531"/>
      <c r="D105" s="582"/>
      <c r="E105" s="531"/>
      <c r="F105" s="533">
        <f t="shared" si="5"/>
        <v>0</v>
      </c>
    </row>
    <row r="106" spans="1:6" ht="12.75">
      <c r="A106" s="65">
        <v>6</v>
      </c>
      <c r="B106" s="66"/>
      <c r="C106" s="531"/>
      <c r="D106" s="582"/>
      <c r="E106" s="531"/>
      <c r="F106" s="533">
        <f t="shared" si="5"/>
        <v>0</v>
      </c>
    </row>
    <row r="107" spans="1:6" ht="12.75">
      <c r="A107" s="65">
        <v>7</v>
      </c>
      <c r="B107" s="66"/>
      <c r="C107" s="531"/>
      <c r="D107" s="582"/>
      <c r="E107" s="531"/>
      <c r="F107" s="533">
        <f t="shared" si="5"/>
        <v>0</v>
      </c>
    </row>
    <row r="108" spans="1:6" ht="12.75">
      <c r="A108" s="65">
        <v>8</v>
      </c>
      <c r="B108" s="66"/>
      <c r="C108" s="531"/>
      <c r="D108" s="582"/>
      <c r="E108" s="531"/>
      <c r="F108" s="533">
        <f t="shared" si="5"/>
        <v>0</v>
      </c>
    </row>
    <row r="109" spans="1:6" ht="12" customHeight="1">
      <c r="A109" s="65">
        <v>9</v>
      </c>
      <c r="B109" s="66"/>
      <c r="C109" s="531"/>
      <c r="D109" s="582"/>
      <c r="E109" s="531"/>
      <c r="F109" s="533">
        <f t="shared" si="5"/>
        <v>0</v>
      </c>
    </row>
    <row r="110" spans="1:6" ht="12.75">
      <c r="A110" s="65">
        <v>10</v>
      </c>
      <c r="B110" s="66"/>
      <c r="C110" s="531"/>
      <c r="D110" s="582"/>
      <c r="E110" s="531"/>
      <c r="F110" s="533">
        <f t="shared" si="5"/>
        <v>0</v>
      </c>
    </row>
    <row r="111" spans="1:6" ht="12.75">
      <c r="A111" s="65">
        <v>11</v>
      </c>
      <c r="B111" s="66"/>
      <c r="C111" s="531"/>
      <c r="D111" s="582"/>
      <c r="E111" s="531"/>
      <c r="F111" s="533">
        <f t="shared" si="5"/>
        <v>0</v>
      </c>
    </row>
    <row r="112" spans="1:6" ht="12.75">
      <c r="A112" s="65">
        <v>12</v>
      </c>
      <c r="B112" s="66"/>
      <c r="C112" s="531"/>
      <c r="D112" s="582"/>
      <c r="E112" s="531"/>
      <c r="F112" s="533">
        <f t="shared" si="5"/>
        <v>0</v>
      </c>
    </row>
    <row r="113" spans="1:6" ht="12.75">
      <c r="A113" s="65">
        <v>13</v>
      </c>
      <c r="B113" s="66"/>
      <c r="C113" s="531"/>
      <c r="D113" s="582"/>
      <c r="E113" s="531"/>
      <c r="F113" s="533">
        <f t="shared" si="5"/>
        <v>0</v>
      </c>
    </row>
    <row r="114" spans="1:6" ht="12" customHeight="1">
      <c r="A114" s="65">
        <v>14</v>
      </c>
      <c r="B114" s="66"/>
      <c r="C114" s="531"/>
      <c r="D114" s="582"/>
      <c r="E114" s="531"/>
      <c r="F114" s="533">
        <f t="shared" si="5"/>
        <v>0</v>
      </c>
    </row>
    <row r="115" spans="1:6" ht="12.75">
      <c r="A115" s="65">
        <v>15</v>
      </c>
      <c r="B115" s="66"/>
      <c r="C115" s="531"/>
      <c r="D115" s="582"/>
      <c r="E115" s="531"/>
      <c r="F115" s="533">
        <f t="shared" si="5"/>
        <v>0</v>
      </c>
    </row>
    <row r="116" spans="1:16" ht="11.25" customHeight="1">
      <c r="A116" s="67" t="s">
        <v>575</v>
      </c>
      <c r="B116" s="68" t="s">
        <v>832</v>
      </c>
      <c r="C116" s="519">
        <f>SUM(C101:C115)</f>
        <v>0</v>
      </c>
      <c r="D116" s="581"/>
      <c r="E116" s="519">
        <f>SUM(E101:E115)</f>
        <v>0</v>
      </c>
      <c r="F116" s="532">
        <f>SUM(F101:F115)</f>
        <v>0</v>
      </c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</row>
    <row r="117" spans="1:6" ht="15" customHeight="1">
      <c r="A117" s="65" t="s">
        <v>823</v>
      </c>
      <c r="B117" s="69"/>
      <c r="C117" s="519"/>
      <c r="D117" s="581"/>
      <c r="E117" s="519"/>
      <c r="F117" s="532"/>
    </row>
    <row r="118" spans="1:6" ht="12.75">
      <c r="A118" s="65"/>
      <c r="B118" s="69"/>
      <c r="C118" s="531"/>
      <c r="D118" s="582"/>
      <c r="E118" s="531"/>
      <c r="F118" s="533">
        <f>C118-E118</f>
        <v>0</v>
      </c>
    </row>
    <row r="119" spans="1:6" ht="12.75">
      <c r="A119" s="65" t="s">
        <v>898</v>
      </c>
      <c r="B119" s="66"/>
      <c r="C119" s="531">
        <v>175</v>
      </c>
      <c r="D119" s="582">
        <v>0.1938</v>
      </c>
      <c r="E119" s="531"/>
      <c r="F119" s="533">
        <f aca="true" t="shared" si="6" ref="F119:F130">C119-E119</f>
        <v>175</v>
      </c>
    </row>
    <row r="120" spans="1:6" ht="12.75">
      <c r="A120" s="65" t="s">
        <v>899</v>
      </c>
      <c r="B120" s="66"/>
      <c r="C120" s="531">
        <v>391</v>
      </c>
      <c r="D120" s="582">
        <v>0.1938</v>
      </c>
      <c r="E120" s="531"/>
      <c r="F120" s="533">
        <f t="shared" si="6"/>
        <v>391</v>
      </c>
    </row>
    <row r="121" spans="1:6" ht="12.75">
      <c r="A121" s="65" t="s">
        <v>546</v>
      </c>
      <c r="B121" s="69"/>
      <c r="C121" s="531"/>
      <c r="D121" s="582"/>
      <c r="E121" s="531"/>
      <c r="F121" s="533">
        <f t="shared" si="6"/>
        <v>0</v>
      </c>
    </row>
    <row r="122" spans="1:6" ht="12.75">
      <c r="A122" s="65">
        <v>5</v>
      </c>
      <c r="B122" s="66"/>
      <c r="C122" s="531"/>
      <c r="D122" s="582"/>
      <c r="E122" s="531"/>
      <c r="F122" s="533">
        <f t="shared" si="6"/>
        <v>0</v>
      </c>
    </row>
    <row r="123" spans="1:6" ht="12.75">
      <c r="A123" s="65">
        <v>6</v>
      </c>
      <c r="B123" s="66"/>
      <c r="C123" s="531"/>
      <c r="D123" s="582"/>
      <c r="E123" s="531"/>
      <c r="F123" s="533">
        <f t="shared" si="6"/>
        <v>0</v>
      </c>
    </row>
    <row r="124" spans="1:6" ht="12.75">
      <c r="A124" s="65">
        <v>7</v>
      </c>
      <c r="B124" s="66"/>
      <c r="C124" s="531"/>
      <c r="D124" s="582"/>
      <c r="E124" s="531"/>
      <c r="F124" s="533">
        <f t="shared" si="6"/>
        <v>0</v>
      </c>
    </row>
    <row r="125" spans="1:6" ht="12.75">
      <c r="A125" s="65">
        <v>8</v>
      </c>
      <c r="B125" s="66"/>
      <c r="C125" s="531"/>
      <c r="D125" s="582"/>
      <c r="E125" s="531"/>
      <c r="F125" s="533">
        <f t="shared" si="6"/>
        <v>0</v>
      </c>
    </row>
    <row r="126" spans="1:6" ht="12" customHeight="1">
      <c r="A126" s="65">
        <v>9</v>
      </c>
      <c r="B126" s="66"/>
      <c r="C126" s="531"/>
      <c r="D126" s="582"/>
      <c r="E126" s="531"/>
      <c r="F126" s="533">
        <f t="shared" si="6"/>
        <v>0</v>
      </c>
    </row>
    <row r="127" spans="1:6" ht="12.75">
      <c r="A127" s="65">
        <v>10</v>
      </c>
      <c r="B127" s="66"/>
      <c r="C127" s="531"/>
      <c r="D127" s="582"/>
      <c r="E127" s="531"/>
      <c r="F127" s="533">
        <f t="shared" si="6"/>
        <v>0</v>
      </c>
    </row>
    <row r="128" spans="1:6" ht="12.75">
      <c r="A128" s="65">
        <v>11</v>
      </c>
      <c r="B128" s="66"/>
      <c r="C128" s="531"/>
      <c r="D128" s="582"/>
      <c r="E128" s="531"/>
      <c r="F128" s="533">
        <f t="shared" si="6"/>
        <v>0</v>
      </c>
    </row>
    <row r="129" spans="1:6" ht="12.75">
      <c r="A129" s="65">
        <v>12</v>
      </c>
      <c r="B129" s="66"/>
      <c r="C129" s="531"/>
      <c r="D129" s="582"/>
      <c r="E129" s="531"/>
      <c r="F129" s="533">
        <f t="shared" si="6"/>
        <v>0</v>
      </c>
    </row>
    <row r="130" spans="1:6" ht="12.75">
      <c r="A130" s="65">
        <v>13</v>
      </c>
      <c r="B130" s="66"/>
      <c r="C130" s="531"/>
      <c r="D130" s="582"/>
      <c r="E130" s="531"/>
      <c r="F130" s="533">
        <f t="shared" si="6"/>
        <v>0</v>
      </c>
    </row>
    <row r="131" spans="1:16" ht="15.75" customHeight="1">
      <c r="A131" s="67" t="s">
        <v>594</v>
      </c>
      <c r="B131" s="68" t="s">
        <v>833</v>
      </c>
      <c r="C131" s="519">
        <f>SUM(C118:C130)</f>
        <v>566</v>
      </c>
      <c r="D131" s="581"/>
      <c r="E131" s="519">
        <f>SUM(E118:E130)</f>
        <v>0</v>
      </c>
      <c r="F131" s="532">
        <f>SUM(F118:F130)</f>
        <v>566</v>
      </c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</row>
    <row r="132" spans="1:6" ht="12.75" customHeight="1">
      <c r="A132" s="65" t="s">
        <v>825</v>
      </c>
      <c r="B132" s="69"/>
      <c r="C132" s="519"/>
      <c r="D132" s="581"/>
      <c r="E132" s="519"/>
      <c r="F132" s="532"/>
    </row>
    <row r="133" spans="1:6" ht="12.75">
      <c r="A133" s="65" t="s">
        <v>858</v>
      </c>
      <c r="B133" s="69"/>
      <c r="C133" s="531">
        <v>1078</v>
      </c>
      <c r="D133" s="582">
        <v>0.0077</v>
      </c>
      <c r="E133" s="531">
        <f>+C133</f>
        <v>1078</v>
      </c>
      <c r="F133" s="533">
        <f>C133-E133</f>
        <v>0</v>
      </c>
    </row>
    <row r="134" spans="1:6" ht="12.75">
      <c r="A134" s="65" t="s">
        <v>859</v>
      </c>
      <c r="B134" s="69"/>
      <c r="C134" s="531">
        <v>0</v>
      </c>
      <c r="D134" s="582">
        <v>0</v>
      </c>
      <c r="E134" s="531"/>
      <c r="F134" s="533">
        <f aca="true" t="shared" si="7" ref="F134:F145">C134-E134</f>
        <v>0</v>
      </c>
    </row>
    <row r="135" spans="1:6" ht="12.75">
      <c r="A135" s="65" t="s">
        <v>860</v>
      </c>
      <c r="B135" s="69"/>
      <c r="C135" s="531">
        <v>4</v>
      </c>
      <c r="D135" s="583">
        <v>2E-05</v>
      </c>
      <c r="E135" s="531"/>
      <c r="F135" s="533">
        <f t="shared" si="7"/>
        <v>4</v>
      </c>
    </row>
    <row r="136" spans="1:6" ht="12.75">
      <c r="A136" s="65" t="s">
        <v>861</v>
      </c>
      <c r="B136" s="69"/>
      <c r="C136" s="531">
        <v>3</v>
      </c>
      <c r="D136" s="583">
        <v>0.00019</v>
      </c>
      <c r="E136" s="531"/>
      <c r="F136" s="533">
        <f t="shared" si="7"/>
        <v>3</v>
      </c>
    </row>
    <row r="137" spans="1:6" ht="12.75">
      <c r="A137" s="65" t="s">
        <v>862</v>
      </c>
      <c r="B137" s="66"/>
      <c r="C137" s="531">
        <v>2</v>
      </c>
      <c r="D137" s="582">
        <v>0.0001</v>
      </c>
      <c r="E137" s="531"/>
      <c r="F137" s="533">
        <f t="shared" si="7"/>
        <v>2</v>
      </c>
    </row>
    <row r="138" spans="1:6" ht="12.75">
      <c r="A138" s="65" t="s">
        <v>863</v>
      </c>
      <c r="B138" s="66"/>
      <c r="C138" s="531">
        <v>1</v>
      </c>
      <c r="D138" s="583">
        <v>8E-05</v>
      </c>
      <c r="E138" s="531"/>
      <c r="F138" s="533">
        <f t="shared" si="7"/>
        <v>1</v>
      </c>
    </row>
    <row r="139" spans="1:6" ht="12.75">
      <c r="A139" s="65" t="s">
        <v>864</v>
      </c>
      <c r="B139" s="66"/>
      <c r="C139" s="531">
        <v>1</v>
      </c>
      <c r="D139" s="583">
        <v>0.00012</v>
      </c>
      <c r="E139" s="531"/>
      <c r="F139" s="533">
        <f t="shared" si="7"/>
        <v>1</v>
      </c>
    </row>
    <row r="140" spans="1:6" ht="12" customHeight="1">
      <c r="A140" s="65" t="s">
        <v>900</v>
      </c>
      <c r="B140" s="66"/>
      <c r="C140" s="531">
        <v>92</v>
      </c>
      <c r="D140" s="582">
        <v>0.19</v>
      </c>
      <c r="E140" s="531"/>
      <c r="F140" s="533">
        <f t="shared" si="7"/>
        <v>92</v>
      </c>
    </row>
    <row r="141" spans="1:6" ht="12.75">
      <c r="A141" s="65" t="s">
        <v>888</v>
      </c>
      <c r="B141" s="66"/>
      <c r="C141" s="531">
        <v>490</v>
      </c>
      <c r="D141" s="582">
        <v>0.19</v>
      </c>
      <c r="E141" s="531"/>
      <c r="F141" s="533">
        <f t="shared" si="7"/>
        <v>490</v>
      </c>
    </row>
    <row r="142" spans="1:6" ht="12.75">
      <c r="A142" s="65">
        <v>12</v>
      </c>
      <c r="B142" s="66"/>
      <c r="C142" s="531"/>
      <c r="D142" s="582"/>
      <c r="E142" s="531"/>
      <c r="F142" s="533">
        <f t="shared" si="7"/>
        <v>0</v>
      </c>
    </row>
    <row r="143" spans="1:6" ht="12.75">
      <c r="A143" s="65">
        <v>13</v>
      </c>
      <c r="B143" s="66"/>
      <c r="C143" s="531"/>
      <c r="D143" s="582"/>
      <c r="E143" s="531"/>
      <c r="F143" s="533">
        <f t="shared" si="7"/>
        <v>0</v>
      </c>
    </row>
    <row r="144" spans="1:6" ht="12" customHeight="1">
      <c r="A144" s="65">
        <v>14</v>
      </c>
      <c r="B144" s="66"/>
      <c r="C144" s="531"/>
      <c r="D144" s="582"/>
      <c r="E144" s="531"/>
      <c r="F144" s="533">
        <f t="shared" si="7"/>
        <v>0</v>
      </c>
    </row>
    <row r="145" spans="1:6" ht="12.75">
      <c r="A145" s="65">
        <v>15</v>
      </c>
      <c r="B145" s="66"/>
      <c r="C145" s="531"/>
      <c r="D145" s="582"/>
      <c r="E145" s="531"/>
      <c r="F145" s="533">
        <f t="shared" si="7"/>
        <v>0</v>
      </c>
    </row>
    <row r="146" spans="1:16" ht="17.25" customHeight="1">
      <c r="A146" s="67" t="s">
        <v>826</v>
      </c>
      <c r="B146" s="68" t="s">
        <v>834</v>
      </c>
      <c r="C146" s="519">
        <f>SUM(C133:C145)</f>
        <v>1671</v>
      </c>
      <c r="D146" s="519"/>
      <c r="E146" s="519">
        <f>SUM(E133:E145)</f>
        <v>1078</v>
      </c>
      <c r="F146" s="532">
        <f>SUM(F133:F145)</f>
        <v>593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70" t="s">
        <v>835</v>
      </c>
      <c r="B147" s="68" t="s">
        <v>836</v>
      </c>
      <c r="C147" s="519">
        <f>C146+C131+C116+C99</f>
        <v>2237</v>
      </c>
      <c r="D147" s="519"/>
      <c r="E147" s="519">
        <f>E146+E131+E116+E99</f>
        <v>1078</v>
      </c>
      <c r="F147" s="532">
        <f>F146+F131+F116+F99</f>
        <v>1159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spans="1:6" ht="19.5" customHeight="1">
      <c r="A148" s="71"/>
      <c r="B148" s="72"/>
      <c r="C148" s="73"/>
      <c r="D148" s="73"/>
      <c r="E148" s="73"/>
      <c r="F148" s="73"/>
    </row>
    <row r="149" spans="1:6" ht="12.75">
      <c r="A149" s="541" t="s">
        <v>893</v>
      </c>
      <c r="B149" s="542"/>
      <c r="C149" s="628" t="s">
        <v>850</v>
      </c>
      <c r="D149" s="628"/>
      <c r="E149" s="628"/>
      <c r="F149" s="628"/>
    </row>
    <row r="150" spans="1:6" ht="12.75">
      <c r="A150" s="74"/>
      <c r="B150" s="75"/>
      <c r="C150" s="74"/>
      <c r="D150" s="74"/>
      <c r="E150" s="74"/>
      <c r="F150" s="74"/>
    </row>
    <row r="151" spans="1:6" ht="12.75">
      <c r="A151" s="74"/>
      <c r="B151" s="75"/>
      <c r="C151" s="628" t="s">
        <v>851</v>
      </c>
      <c r="D151" s="628"/>
      <c r="E151" s="628"/>
      <c r="F151" s="628"/>
    </row>
    <row r="152" spans="3:5" ht="12.75">
      <c r="C152" s="74"/>
      <c r="E152" s="74"/>
    </row>
    <row r="153" ht="12.75">
      <c r="C153" s="587"/>
    </row>
  </sheetData>
  <sheetProtection/>
  <mergeCells count="5">
    <mergeCell ref="C151:F151"/>
    <mergeCell ref="C149:F149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8:F130 C84:F98 C101:F115 C63:F79 C12:F26 C29:F43 C46:F60 C133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GATodorova</cp:lastModifiedBy>
  <cp:lastPrinted>2013-02-27T08:21:06Z</cp:lastPrinted>
  <dcterms:created xsi:type="dcterms:W3CDTF">2000-06-29T12:02:40Z</dcterms:created>
  <dcterms:modified xsi:type="dcterms:W3CDTF">2013-02-27T08:51:32Z</dcterms:modified>
  <cp:category/>
  <cp:version/>
  <cp:contentType/>
  <cp:contentStatus/>
</cp:coreProperties>
</file>