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7350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'CFS'!$A$1:$E$67</definedName>
    <definedName name="_xlnm.Print_Area" localSheetId="4">'EQS'!$A$1:$R$52</definedName>
    <definedName name="_xlnm.Print_Area" localSheetId="1">'IS'!$A$1:$E$55</definedName>
    <definedName name="_xlnm.Print_Area" localSheetId="2">'SFP'!$A$1:$H$70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'EQS'!$A$1:$O$47</definedName>
    <definedName name="Z_9656BBF7_C4A3_41EC_B0C6_A21B380E3C2F_.wvu.Rows" localSheetId="3" hidden="1">'CFS'!$72:$65536,'CFS'!$55:$55</definedName>
  </definedNames>
  <calcPr fullCalcOnLoad="1"/>
</workbook>
</file>

<file path=xl/comments5.xml><?xml version="1.0" encoding="utf-8"?>
<comments xmlns="http://schemas.openxmlformats.org/spreadsheetml/2006/main">
  <authors>
    <author>Jordanka Petkova</author>
  </authors>
  <commentList>
    <comment ref="O2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1. 5 092 тыс. лв </t>
        </r>
        <r>
          <rPr>
            <sz val="9"/>
            <rFont val="Tahoma"/>
            <family val="2"/>
          </rPr>
          <t>от элиминирования покупок акций на СФТ и УФ</t>
        </r>
        <r>
          <rPr>
            <b/>
            <sz val="9"/>
            <rFont val="Tahoma"/>
            <family val="2"/>
          </rPr>
          <t xml:space="preserve">
2. 21 тыс. лв </t>
        </r>
        <r>
          <rPr>
            <sz val="9"/>
            <rFont val="Tahoma"/>
            <family val="2"/>
          </rPr>
          <t>от элиминирования ПР акций СФТ с 2017 г.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<sst xmlns="http://schemas.openxmlformats.org/spreadsheetml/2006/main" count="271" uniqueCount="206">
  <si>
    <t>АКТИВ</t>
  </si>
  <si>
    <t>Приложения</t>
  </si>
  <si>
    <t>BGN'000</t>
  </si>
  <si>
    <t>ул. Илиенско шосе 16</t>
  </si>
  <si>
    <t>Адриана Балева</t>
  </si>
  <si>
    <t>Галина Ангелова</t>
  </si>
  <si>
    <t>Венелин Гачев</t>
  </si>
  <si>
    <t>Банка ДСК ЕАД</t>
  </si>
  <si>
    <t>Йорданка Петкова</t>
  </si>
  <si>
    <t>Весела Стоева</t>
  </si>
  <si>
    <t>Венцислав Стоев</t>
  </si>
  <si>
    <t>Ситибанк Н.А.</t>
  </si>
  <si>
    <t xml:space="preserve"> </t>
  </si>
  <si>
    <t>Борис Борисов</t>
  </si>
  <si>
    <t>Александър Чаушев</t>
  </si>
  <si>
    <t>Петър Калпакчиев</t>
  </si>
  <si>
    <t>Сосиате Женерал Експресбанк АД</t>
  </si>
  <si>
    <t>Сибанк ЕАД</t>
  </si>
  <si>
    <t>Огнян Палавеев</t>
  </si>
  <si>
    <t>15,16</t>
  </si>
  <si>
    <t>Бойко Ботев</t>
  </si>
  <si>
    <t>Гергана Тодорова</t>
  </si>
  <si>
    <t>26 (а)</t>
  </si>
  <si>
    <t>26 (b)</t>
  </si>
  <si>
    <t>28,40</t>
  </si>
  <si>
    <t>Бейкър Тили Клиту и Партньори ООД</t>
  </si>
  <si>
    <t>2018   BGN'000</t>
  </si>
  <si>
    <t>**</t>
  </si>
  <si>
    <t>*</t>
  </si>
  <si>
    <r>
      <t>2017</t>
    </r>
    <r>
      <rPr>
        <b/>
        <sz val="10"/>
        <color indexed="10"/>
        <rFont val="Times New Roman"/>
        <family val="1"/>
      </rPr>
      <t>**</t>
    </r>
    <r>
      <rPr>
        <b/>
        <sz val="10"/>
        <rFont val="Times New Roman"/>
        <family val="1"/>
      </rPr>
      <t xml:space="preserve">   BGN'000</t>
    </r>
  </si>
  <si>
    <t>Наименование общества:</t>
  </si>
  <si>
    <t>Андрей Брешков</t>
  </si>
  <si>
    <t>Исполнительный директор:</t>
  </si>
  <si>
    <t>Финансовый директор:</t>
  </si>
  <si>
    <t>Начальник юридического отдела:</t>
  </si>
  <si>
    <t>Юридический адрес:</t>
  </si>
  <si>
    <t>Адвокаты:</t>
  </si>
  <si>
    <t>Обслуживающие банки:</t>
  </si>
  <si>
    <t>Юробанк и Еф Джи Болгария АД</t>
  </si>
  <si>
    <t>Аудиторы: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</si>
  <si>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</si>
  <si>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</si>
  <si>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</si>
  <si>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персонал</t>
  </si>
  <si>
    <t>Расходы на амортизацию</t>
  </si>
  <si>
    <t>Финансовые доходы</t>
  </si>
  <si>
    <t>Прочие компоненты совокупного дохода</t>
  </si>
  <si>
    <t>Чистое изменение справедливой стоимости финансовых активов, имеющихся в наличии и для продажи</t>
  </si>
  <si>
    <t xml:space="preserve">Прочий совокупный доход за год, за вычетом налога </t>
  </si>
  <si>
    <t>Доход на акцию                                                                       BGN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</si>
  <si>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</si>
  <si>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</si>
  <si>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</si>
  <si>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 xml:space="preserve">АО СОФАРМА </t>
  </si>
  <si>
    <t>Нетекущие активы</t>
  </si>
  <si>
    <t>Недвижимость, машины и оборудование</t>
  </si>
  <si>
    <t>Нематериальные активы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</si>
  <si>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</si>
  <si>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</si>
  <si>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</si>
  <si>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</si>
  <si>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</si>
  <si>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</si>
  <si>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</si>
  <si>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</si>
  <si>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Основной акционерный капитал</t>
  </si>
  <si>
    <t>Обратно выкупленные собственные акции</t>
  </si>
  <si>
    <t>Резервы</t>
  </si>
  <si>
    <t>Правительственные финансирования</t>
  </si>
  <si>
    <t>Краткосрочные банковские займы</t>
  </si>
  <si>
    <t>Задолженность перед связанными предприятиями</t>
  </si>
  <si>
    <t>Денежные потоки от операционной деятельности</t>
  </si>
  <si>
    <t>Поступления от клиентов</t>
  </si>
  <si>
    <t>Прочие поступления/(платежи), нетто</t>
  </si>
  <si>
    <t>Приобретение нематериальных активов</t>
  </si>
  <si>
    <t>Поступления от продажи нематериальных активов</t>
  </si>
  <si>
    <t>Платежи по финансовому лизингу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</si>
  <si>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</si>
  <si>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</si>
  <si>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>Проценты, полученные за предоставленные займы</t>
  </si>
  <si>
    <t>Денежные потоки от финансовой деятельности</t>
  </si>
  <si>
    <t>Выплаченные дивиденды</t>
  </si>
  <si>
    <t>Чистое уменьшение денежных средств и их эквивалентов</t>
  </si>
  <si>
    <t>Общий совокупный доход за год, в т.ч.:</t>
  </si>
  <si>
    <t xml:space="preserve">Перенос на счет "Нераспределенная прибыль" </t>
  </si>
  <si>
    <t>Сальдо на 31 декабря 2017 года</t>
  </si>
  <si>
    <t>Законные резервы</t>
  </si>
  <si>
    <t>Дополнительные резервы</t>
  </si>
  <si>
    <t>Итого собственный капитал</t>
  </si>
  <si>
    <t>г. София</t>
  </si>
  <si>
    <t>за год, заканчивающийся 31 декабря 2018 года</t>
  </si>
  <si>
    <t>Обесценение нетекущих активов, выходящих за рамки МСФО 9</t>
  </si>
  <si>
    <t>Прибыль до уплаты налога на прибыль</t>
  </si>
  <si>
    <t>Последующие переоценки недвижимости, машин и оборудования</t>
  </si>
  <si>
    <t>Последующие оценки пассивов пенсионных планов с установленными доходами</t>
  </si>
  <si>
    <t>Подоходный налог, связанный с компонентами прочего совокупного дохода, который не будет реклассифицирован</t>
  </si>
  <si>
    <t>Приложения на страницах с 5 по 163 являются неотъемлемой частью финансового отчета.</t>
  </si>
  <si>
    <t>* Объединенные показатели (Приложение № 40)</t>
  </si>
  <si>
    <t>** Модифицированное ретроспективное применение МСФО 9 и МСФО 15 (Приложение № 44)</t>
  </si>
  <si>
    <t>д.э.н. Огнян Донев</t>
  </si>
  <si>
    <t>перевычисленный*</t>
  </si>
  <si>
    <t>31 декабря                   2018
      BGN'000</t>
  </si>
  <si>
    <t>31 декабря                   2017
      BGN'000</t>
  </si>
  <si>
    <r>
      <t>1 января          2017</t>
    </r>
    <r>
      <rPr>
        <b/>
        <sz val="10"/>
        <rFont val="Times New Roman"/>
        <family val="1"/>
      </rPr>
      <t xml:space="preserve">      BGN'000</t>
    </r>
  </si>
  <si>
    <t>Инвестиции в ассоциированные компании</t>
  </si>
  <si>
    <t>Прочие долгосрочные капитальные инвестиции</t>
  </si>
  <si>
    <t>Чистое изменение справедливой стоимости прочих долгосрочных капитальных инвестиции</t>
  </si>
  <si>
    <t>Долгосрочная дебиторская задолженность от связанных предприятий</t>
  </si>
  <si>
    <t>Индивидуальный финансовый отчет на страницах с 1 по 163 одобрен к выпуску Советом директоров и подписан 26 марта 2019 года:</t>
  </si>
  <si>
    <t>ИНДИВИДУАЛЬНЫЙ ОТЧЕТ О ДЕНЕЖНЫХ ПОТОКАХ</t>
  </si>
  <si>
    <t>АО Софарма</t>
  </si>
  <si>
    <t xml:space="preserve"> АО СОФАРМА</t>
  </si>
  <si>
    <t>Уплаченные налоги (без налогов на прибыль)</t>
  </si>
  <si>
    <t>Восстановленные налоги (без налогов на прибыль)</t>
  </si>
  <si>
    <t>Восстановленные налоги нетто (без налогов на прибыль)</t>
  </si>
  <si>
    <t>Уплаченные налоги на прибыль</t>
  </si>
  <si>
    <t>Уплаченные проценты и банковские сборы по займам на пополнение оборотных средств</t>
  </si>
  <si>
    <t>Покупки капитальных инвестиции</t>
  </si>
  <si>
    <t>Поступления от продажи капитальных инвестиции</t>
  </si>
  <si>
    <t>Поступления от продажи акций в дочерних компаниях</t>
  </si>
  <si>
    <t>Поступления от долгосрочных банковских займов</t>
  </si>
  <si>
    <t>Уплаченные проценты и сборы по займам с инвестиционным предназначением</t>
  </si>
  <si>
    <t>Поступления от продажи обратно выкупленных акций</t>
  </si>
  <si>
    <t>Денежные средства и их эквиваленты по состоянию на 31 декабря</t>
  </si>
  <si>
    <t>Поступления от продажи недвижимости, машин и оборудования</t>
  </si>
  <si>
    <t>Приобретение недвижимости, машин и оборудования</t>
  </si>
  <si>
    <t>Восстановленные займы, предоставленные другим предприятиям</t>
  </si>
  <si>
    <t>Чистые денежные потоки (использованные в)/от финансовой деятельности</t>
  </si>
  <si>
    <t>Резерв переоценки - недвижимость, машины и оборудование</t>
  </si>
  <si>
    <t>Резерв по финансовым активам, имеющиеся в наличии для продажи</t>
  </si>
  <si>
    <t>Нераспределенная прибыль</t>
  </si>
  <si>
    <t>Сальдо на 31 декабря 2018 года</t>
  </si>
  <si>
    <t xml:space="preserve"> - дивиденды за шесть месяцев из прибыли за 2018 год</t>
  </si>
  <si>
    <t>Эффекты от обратно выкупленных собственных акций, в том числе:</t>
  </si>
  <si>
    <t>- приобретение обратно выкупленных акций</t>
  </si>
  <si>
    <t>- проданные обратно выкупленные собственные акции</t>
  </si>
  <si>
    <t>ИТОГО СОВОКУПНЫЙ ДОХОД ЗА ГОД</t>
  </si>
  <si>
    <t>Общий совокупный доход за год (перевычисленный)</t>
  </si>
  <si>
    <t>Эффекты от первоначального применения МСФО 9</t>
  </si>
  <si>
    <t>Сальдо на 31 декабря 2017 года (перевычисленное)</t>
  </si>
  <si>
    <t>Изменения собственного капитала за 2018 год</t>
  </si>
  <si>
    <t>- выплаты на основе акций</t>
  </si>
  <si>
    <t>Общий совокупный доход за год, в том числе:</t>
  </si>
  <si>
    <t>Эффекты от слияния дочерней компании</t>
  </si>
  <si>
    <t>Приобретение акций/долей в дочерних компаниях</t>
  </si>
  <si>
    <t>Поступления от продажи акций/долей в дочерних компаниях</t>
  </si>
  <si>
    <t>Финансовые доходы/(Расходы), нетто</t>
  </si>
  <si>
    <t>Приобретение инвестиций в ассоциированных обществах</t>
  </si>
  <si>
    <t>Поступления от ликвидационных долей дочерних компаний</t>
  </si>
  <si>
    <t>Совет директоров:</t>
  </si>
  <si>
    <t>Главный бухгалтер:</t>
  </si>
  <si>
    <t>Райфайзенбанк (Болгария) ЕАД</t>
  </si>
  <si>
    <t>Уникредит АД</t>
  </si>
  <si>
    <t>Инг Банк Н.В.</t>
  </si>
  <si>
    <t>ИНДИВИДУАЛЬНЫЙ ОТЧЕТ О СОВОКУПНОМ ДОХОДЕ</t>
  </si>
  <si>
    <t>Расходы на сырье и материалы</t>
  </si>
  <si>
    <t>Расходы на внешние услуги</t>
  </si>
  <si>
    <t>Прочие операционные расходы</t>
  </si>
  <si>
    <t>Прибыль от операционной деятельности</t>
  </si>
  <si>
    <t>Прибыль до налогообложения</t>
  </si>
  <si>
    <t>Расходы по налогу на прибыль</t>
  </si>
  <si>
    <t>Компоненты, которые могут быть реклассифицированы в состав прибыли или убытка:</t>
  </si>
  <si>
    <t>ИНДИВИДУАЛЬНЫЙ ОТЧЕТ О ФИНАНСОВОМ СОСТОЯНИИ</t>
  </si>
  <si>
    <t>Инвестиционная недвижимость</t>
  </si>
  <si>
    <t>Инвестиции в дочерние компании</t>
  </si>
  <si>
    <t>ИТОГО АКТИВЫ</t>
  </si>
  <si>
    <t>СОБСТВЕННЫЙ КАПИТАЛ И ПАССИВЫ</t>
  </si>
  <si>
    <t>СОБСТВЕННЫЙ КАПИТАЛ</t>
  </si>
  <si>
    <t>ПАССИВЫ</t>
  </si>
  <si>
    <t>Долгосрочные обязательства</t>
  </si>
  <si>
    <t>Долгосрочные банковские займы</t>
  </si>
  <si>
    <t>Пассивы по отсроченным налогам</t>
  </si>
  <si>
    <t>Обязательства перед персоналом</t>
  </si>
  <si>
    <t>Текущие обязательства</t>
  </si>
  <si>
    <t>Краткосрочная часть долгосрочных банковских займов</t>
  </si>
  <si>
    <t>Торговые обязательства</t>
  </si>
  <si>
    <t>Обязательства по налогам</t>
  </si>
  <si>
    <t>Обязательства перед персоналом и по социальному страхованию</t>
  </si>
  <si>
    <t>Прочие текущие обязательства</t>
  </si>
  <si>
    <t>ИТОГО ПАССИВЫ</t>
  </si>
  <si>
    <t>ИТОГО СОБСТВЕННЫЙ КАПИТАЛ И ПАССИВЫ</t>
  </si>
  <si>
    <t>АО СОФАРМА</t>
  </si>
  <si>
    <t>Платежи поставщикам</t>
  </si>
  <si>
    <t>Платежи персоналу и по социальному страхованию</t>
  </si>
  <si>
    <t>Чистые денежные потоки (использованные в)/полученные от операционной деятельности</t>
  </si>
  <si>
    <t>Денежные потоки от инвестиционной деятельности</t>
  </si>
  <si>
    <t>Покупки акций и долей в дочерних компаниях</t>
  </si>
  <si>
    <t>Предоставленные займы другим предприятиям</t>
  </si>
  <si>
    <t>Чистые денежные потоки, использованные в инвестиционной деятельности</t>
  </si>
  <si>
    <t>Погашение долгосрочных банковских займов</t>
  </si>
  <si>
    <t>Поступления от краткосрочных банковских займов (овердрафт), нетто</t>
  </si>
  <si>
    <t>Денежные средства и их эквиваленты по состоянию на 1 января</t>
  </si>
  <si>
    <t>ИНДИВИДУАЛЬНЫЙ ОТЧЕТ ОБ ИЗМЕНЕНИЯХ СОБСТВЕННОГО КАПИТАЛА</t>
  </si>
  <si>
    <t>Сальдо на 1 января 2017 года</t>
  </si>
  <si>
    <t>Сальдо на 1 января 2017 года (перевычисленное)</t>
  </si>
  <si>
    <t xml:space="preserve">Изменения собственного капитала за 2017 год </t>
  </si>
  <si>
    <t xml:space="preserve">Распределение прибыли на:    </t>
  </si>
  <si>
    <t>*дивиденды</t>
  </si>
  <si>
    <t>*резервы</t>
  </si>
  <si>
    <t xml:space="preserve">*чистая прибыль за год </t>
  </si>
  <si>
    <t xml:space="preserve">*прочие компоненты совокупного дохода, за вычетом налогов </t>
  </si>
  <si>
    <t>Перенос на счет "Нераспределенная прибыль"</t>
  </si>
  <si>
    <t>Сальдо на 1 января 2018 года (перевычисленное)</t>
  </si>
  <si>
    <t>Распределение прибыли на:</t>
  </si>
  <si>
    <t>*дивиденды 2017</t>
  </si>
  <si>
    <t xml:space="preserve">Финансовый директор:                     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</si>
</sst>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4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41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41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41" fontId="5" fillId="0" borderId="0" xfId="60" applyNumberFormat="1" applyFont="1" applyAlignment="1">
      <alignment horizontal="right"/>
      <protection/>
    </xf>
    <xf numFmtId="41" fontId="16" fillId="0" borderId="0" xfId="60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3" applyNumberFormat="1" applyFont="1" applyAlignment="1">
      <alignment horizontal="right"/>
      <protection/>
    </xf>
    <xf numFmtId="41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209" fontId="1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41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41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41" fontId="41" fillId="0" borderId="0" xfId="0" applyNumberFormat="1" applyFont="1" applyAlignment="1">
      <alignment horizontal="left" vertical="center"/>
    </xf>
    <xf numFmtId="41" fontId="44" fillId="0" borderId="0" xfId="0" applyNumberFormat="1" applyFont="1" applyAlignment="1">
      <alignment horizontal="center"/>
    </xf>
    <xf numFmtId="41" fontId="43" fillId="0" borderId="0" xfId="42" applyNumberFormat="1" applyFont="1" applyAlignment="1">
      <alignment/>
    </xf>
    <xf numFmtId="41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41" fontId="9" fillId="0" borderId="11" xfId="42" applyNumberFormat="1" applyFont="1" applyBorder="1" applyAlignment="1">
      <alignment/>
    </xf>
    <xf numFmtId="41" fontId="9" fillId="0" borderId="11" xfId="0" applyNumberFormat="1" applyFont="1" applyBorder="1" applyAlignment="1">
      <alignment horizontal="center"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26" fillId="0" borderId="0" xfId="61" applyNumberFormat="1" applyFont="1" applyAlignment="1">
      <alignment horizontal="center" vertical="center" wrapText="1"/>
      <protection/>
    </xf>
    <xf numFmtId="41" fontId="26" fillId="0" borderId="0" xfId="61" applyNumberFormat="1" applyFont="1" applyAlignment="1">
      <alignment horizontal="right" vertical="center" wrapText="1"/>
      <protection/>
    </xf>
    <xf numFmtId="41" fontId="8" fillId="0" borderId="10" xfId="0" applyNumberFormat="1" applyFont="1" applyBorder="1" applyAlignment="1">
      <alignment horizontal="right"/>
    </xf>
    <xf numFmtId="41" fontId="39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37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right"/>
    </xf>
    <xf numFmtId="41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41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center" vertical="top"/>
    </xf>
    <xf numFmtId="203" fontId="49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203" fontId="31" fillId="0" borderId="11" xfId="61" applyNumberFormat="1" applyFont="1" applyBorder="1" applyAlignment="1">
      <alignment vertical="center"/>
      <protection/>
    </xf>
    <xf numFmtId="203" fontId="31" fillId="0" borderId="0" xfId="61" applyNumberFormat="1" applyFont="1" applyAlignment="1">
      <alignment vertical="center"/>
      <protection/>
    </xf>
    <xf numFmtId="203" fontId="46" fillId="0" borderId="0" xfId="61" applyNumberFormat="1" applyFont="1" applyAlignment="1">
      <alignment vertical="center"/>
      <protection/>
    </xf>
    <xf numFmtId="0" fontId="46" fillId="0" borderId="0" xfId="0" applyFont="1" applyAlignment="1">
      <alignment horizontal="right"/>
    </xf>
    <xf numFmtId="203" fontId="31" fillId="0" borderId="13" xfId="61" applyNumberFormat="1" applyFont="1" applyBorder="1" applyAlignment="1">
      <alignment vertical="center"/>
      <protection/>
    </xf>
    <xf numFmtId="203" fontId="46" fillId="0" borderId="0" xfId="0" applyNumberFormat="1" applyFont="1" applyAlignment="1">
      <alignment/>
    </xf>
    <xf numFmtId="43" fontId="46" fillId="0" borderId="0" xfId="42" applyFont="1" applyAlignment="1">
      <alignment horizontal="right"/>
    </xf>
    <xf numFmtId="3" fontId="46" fillId="0" borderId="0" xfId="42" applyNumberFormat="1" applyFont="1" applyAlignment="1">
      <alignment horizontal="right"/>
    </xf>
    <xf numFmtId="43" fontId="46" fillId="0" borderId="0" xfId="42" applyFont="1" applyAlignment="1">
      <alignment/>
    </xf>
    <xf numFmtId="41" fontId="46" fillId="0" borderId="0" xfId="0" applyNumberFormat="1" applyFont="1" applyAlignment="1">
      <alignment/>
    </xf>
    <xf numFmtId="203" fontId="49" fillId="0" borderId="0" xfId="42" applyNumberFormat="1" applyFont="1" applyAlignment="1">
      <alignment horizontal="right" vertical="center"/>
    </xf>
    <xf numFmtId="203" fontId="46" fillId="0" borderId="10" xfId="42" applyNumberFormat="1" applyFont="1" applyBorder="1" applyAlignment="1">
      <alignment horizontal="right" vertical="center"/>
    </xf>
    <xf numFmtId="41" fontId="46" fillId="0" borderId="10" xfId="42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1" fontId="49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203" fontId="46" fillId="0" borderId="0" xfId="42" applyNumberFormat="1" applyFont="1" applyAlignment="1">
      <alignment horizontal="right" vertical="center"/>
    </xf>
    <xf numFmtId="0" fontId="49" fillId="0" borderId="0" xfId="6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203" fontId="31" fillId="0" borderId="10" xfId="42" applyNumberFormat="1" applyFont="1" applyBorder="1" applyAlignment="1">
      <alignment horizontal="right" vertical="center"/>
    </xf>
    <xf numFmtId="203" fontId="31" fillId="0" borderId="0" xfId="42" applyNumberFormat="1" applyFont="1" applyAlignment="1">
      <alignment horizontal="right" vertical="center"/>
    </xf>
    <xf numFmtId="203" fontId="52" fillId="0" borderId="0" xfId="42" applyNumberFormat="1" applyFont="1" applyAlignment="1">
      <alignment horizontal="right" vertical="center"/>
    </xf>
    <xf numFmtId="203" fontId="31" fillId="0" borderId="13" xfId="0" applyNumberFormat="1" applyFont="1" applyBorder="1" applyAlignment="1">
      <alignment horizont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03" fontId="46" fillId="0" borderId="0" xfId="42" applyNumberFormat="1" applyFont="1" applyAlignment="1">
      <alignment horizontal="center"/>
    </xf>
    <xf numFmtId="203" fontId="46" fillId="0" borderId="0" xfId="42" applyNumberFormat="1" applyFont="1" applyAlignment="1">
      <alignment/>
    </xf>
    <xf numFmtId="203" fontId="31" fillId="0" borderId="13" xfId="42" applyNumberFormat="1" applyFont="1" applyBorder="1" applyAlignment="1">
      <alignment horizontal="center"/>
    </xf>
    <xf numFmtId="203" fontId="31" fillId="0" borderId="0" xfId="42" applyNumberFormat="1" applyFont="1" applyAlignment="1">
      <alignment horizontal="center"/>
    </xf>
    <xf numFmtId="203" fontId="31" fillId="0" borderId="0" xfId="42" applyNumberFormat="1" applyFont="1" applyAlignment="1">
      <alignment/>
    </xf>
    <xf numFmtId="41" fontId="46" fillId="0" borderId="0" xfId="42" applyNumberFormat="1" applyFont="1" applyAlignment="1">
      <alignment/>
    </xf>
    <xf numFmtId="41" fontId="46" fillId="0" borderId="0" xfId="42" applyNumberFormat="1" applyFont="1" applyAlignment="1">
      <alignment horizontal="right"/>
    </xf>
    <xf numFmtId="0" fontId="51" fillId="0" borderId="0" xfId="0" applyFont="1" applyAlignment="1">
      <alignment/>
    </xf>
    <xf numFmtId="0" fontId="49" fillId="0" borderId="0" xfId="59" applyFont="1" applyAlignment="1">
      <alignment horizontal="right" vertical="center"/>
      <protection/>
    </xf>
    <xf numFmtId="203" fontId="53" fillId="0" borderId="0" xfId="61" applyNumberFormat="1" applyFont="1" applyAlignment="1">
      <alignment vertical="center"/>
      <protection/>
    </xf>
    <xf numFmtId="0" fontId="50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203" fontId="8" fillId="0" borderId="0" xfId="0" applyNumberFormat="1" applyFont="1" applyAlignment="1">
      <alignment horizontal="center"/>
    </xf>
    <xf numFmtId="203" fontId="46" fillId="0" borderId="0" xfId="42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203" fontId="46" fillId="0" borderId="0" xfId="42" applyNumberFormat="1" applyFont="1" applyAlignment="1">
      <alignment horizontal="center"/>
    </xf>
    <xf numFmtId="0" fontId="87" fillId="0" borderId="0" xfId="0" applyFont="1" applyAlignment="1">
      <alignment/>
    </xf>
    <xf numFmtId="41" fontId="5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vertical="top"/>
    </xf>
    <xf numFmtId="0" fontId="46" fillId="0" borderId="0" xfId="62" applyFont="1" applyAlignment="1">
      <alignment horizontal="center"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45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209" fontId="11" fillId="32" borderId="11" xfId="64" applyNumberFormat="1" applyFont="1" applyFill="1" applyBorder="1" applyAlignment="1">
      <alignment vertical="center"/>
      <protection/>
    </xf>
    <xf numFmtId="3" fontId="12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 horizontal="right"/>
    </xf>
    <xf numFmtId="0" fontId="0" fillId="32" borderId="0" xfId="0" applyFill="1" applyAlignment="1">
      <alignment/>
    </xf>
    <xf numFmtId="3" fontId="13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 horizontal="right"/>
    </xf>
    <xf numFmtId="0" fontId="31" fillId="32" borderId="0" xfId="0" applyFont="1" applyFill="1" applyAlignment="1">
      <alignment horizontal="right"/>
    </xf>
    <xf numFmtId="0" fontId="50" fillId="32" borderId="0" xfId="0" applyFont="1" applyFill="1" applyAlignment="1">
      <alignment horizontal="right"/>
    </xf>
    <xf numFmtId="0" fontId="31" fillId="32" borderId="10" xfId="0" applyFont="1" applyFill="1" applyBorder="1" applyAlignment="1">
      <alignment horizontal="right"/>
    </xf>
    <xf numFmtId="203" fontId="31" fillId="32" borderId="11" xfId="61" applyNumberFormat="1" applyFont="1" applyFill="1" applyBorder="1" applyAlignment="1">
      <alignment vertical="center"/>
      <protection/>
    </xf>
    <xf numFmtId="203" fontId="31" fillId="32" borderId="0" xfId="61" applyNumberFormat="1" applyFont="1" applyFill="1" applyAlignment="1">
      <alignment vertical="center"/>
      <protection/>
    </xf>
    <xf numFmtId="203" fontId="46" fillId="32" borderId="0" xfId="61" applyNumberFormat="1" applyFont="1" applyFill="1" applyAlignment="1">
      <alignment vertical="center"/>
      <protection/>
    </xf>
    <xf numFmtId="203" fontId="31" fillId="32" borderId="13" xfId="61" applyNumberFormat="1" applyFont="1" applyFill="1" applyBorder="1" applyAlignment="1">
      <alignment vertical="center"/>
      <protection/>
    </xf>
    <xf numFmtId="0" fontId="29" fillId="32" borderId="0" xfId="60" applyFont="1" applyFill="1" applyAlignment="1">
      <alignment horizontal="center"/>
      <protection/>
    </xf>
    <xf numFmtId="41" fontId="8" fillId="32" borderId="0" xfId="63" applyNumberFormat="1" applyFont="1" applyFill="1" applyAlignment="1">
      <alignment horizontal="right"/>
      <protection/>
    </xf>
    <xf numFmtId="0" fontId="8" fillId="32" borderId="0" xfId="60" applyFont="1" applyFill="1">
      <alignment/>
      <protection/>
    </xf>
    <xf numFmtId="0" fontId="5" fillId="32" borderId="0" xfId="60" applyFont="1" applyFill="1">
      <alignment/>
      <protection/>
    </xf>
    <xf numFmtId="41" fontId="9" fillId="32" borderId="11" xfId="63" applyNumberFormat="1" applyFont="1" applyFill="1" applyBorder="1" applyAlignment="1">
      <alignment horizontal="right"/>
      <protection/>
    </xf>
    <xf numFmtId="41" fontId="9" fillId="32" borderId="10" xfId="63" applyNumberFormat="1" applyFont="1" applyFill="1" applyBorder="1" applyAlignment="1">
      <alignment horizontal="right"/>
      <protection/>
    </xf>
    <xf numFmtId="0" fontId="5" fillId="32" borderId="0" xfId="60" applyFont="1" applyFill="1">
      <alignment/>
      <protection/>
    </xf>
    <xf numFmtId="41" fontId="5" fillId="32" borderId="0" xfId="60" applyNumberFormat="1" applyFont="1" applyFill="1" applyAlignment="1">
      <alignment horizontal="right"/>
      <protection/>
    </xf>
    <xf numFmtId="49" fontId="5" fillId="32" borderId="0" xfId="60" applyNumberFormat="1" applyFont="1" applyFill="1" applyAlignment="1">
      <alignment horizontal="right"/>
      <protection/>
    </xf>
    <xf numFmtId="0" fontId="16" fillId="32" borderId="0" xfId="60" applyFont="1" applyFill="1">
      <alignment/>
      <protection/>
    </xf>
    <xf numFmtId="0" fontId="5" fillId="32" borderId="0" xfId="0" applyFont="1" applyFill="1" applyAlignment="1">
      <alignment horizontal="center"/>
    </xf>
    <xf numFmtId="41" fontId="9" fillId="32" borderId="13" xfId="63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0" fillId="0" borderId="0" xfId="59" applyFont="1" applyFill="1" applyBorder="1" applyAlignment="1">
      <alignment horizontal="left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vertical="center" wrapText="1"/>
      <protection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59" applyFont="1" applyFill="1" applyAlignment="1">
      <alignment horizontal="left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/>
      <protection/>
    </xf>
    <xf numFmtId="0" fontId="9" fillId="0" borderId="10" xfId="59" applyFont="1" applyFill="1" applyBorder="1" applyAlignment="1">
      <alignment horizontal="left" vertical="center"/>
      <protection/>
    </xf>
    <xf numFmtId="0" fontId="28" fillId="0" borderId="0" xfId="60" applyFont="1" applyFill="1" applyBorder="1" applyAlignment="1">
      <alignment vertical="top" wrapText="1"/>
      <protection/>
    </xf>
    <xf numFmtId="0" fontId="30" fillId="0" borderId="0" xfId="60" applyFont="1" applyFill="1" applyBorder="1" applyAlignment="1">
      <alignment vertical="top" wrapText="1"/>
      <protection/>
    </xf>
    <xf numFmtId="0" fontId="30" fillId="33" borderId="0" xfId="60" applyFont="1" applyFill="1" applyBorder="1" applyAlignment="1">
      <alignment vertical="top" wrapText="1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16" fillId="0" borderId="0" xfId="60" applyFont="1" applyFill="1" applyBorder="1">
      <alignment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 applyAlignment="1">
      <alignment horizontal="left" wrapText="1"/>
      <protection/>
    </xf>
    <xf numFmtId="0" fontId="35" fillId="0" borderId="0" xfId="67" applyFont="1" applyFill="1" applyBorder="1" applyAlignment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3" fontId="29" fillId="0" borderId="0" xfId="60" applyNumberFormat="1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49" fillId="0" borderId="0" xfId="62" applyNumberFormat="1" applyFont="1" applyFill="1" applyBorder="1" applyAlignment="1" applyProtection="1">
      <alignment vertical="center" wrapText="1"/>
      <protection/>
    </xf>
    <xf numFmtId="0" fontId="54" fillId="0" borderId="0" xfId="59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61" applyNumberFormat="1" applyFont="1" applyFill="1" applyBorder="1" applyAlignment="1" applyProtection="1">
      <alignment vertical="top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/>
    </xf>
    <xf numFmtId="41" fontId="54" fillId="0" borderId="0" xfId="61" applyNumberFormat="1" applyFont="1" applyAlignment="1">
      <alignment horizontal="right" vertical="top" wrapText="1"/>
      <protection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6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ill="1" applyBorder="1" applyAlignment="1">
      <alignment horizontal="left" vertical="center"/>
      <protection/>
    </xf>
    <xf numFmtId="15" fontId="34" fillId="0" borderId="0" xfId="59" applyNumberFormat="1" applyFont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0" fontId="8" fillId="0" borderId="0" xfId="0" applyFont="1" applyAlignment="1">
      <alignment horizontal="left" vertical="center" wrapText="1"/>
    </xf>
    <xf numFmtId="0" fontId="45" fillId="0" borderId="14" xfId="0" applyFont="1" applyBorder="1" applyAlignment="1">
      <alignment horizontal="left" vertical="center"/>
    </xf>
    <xf numFmtId="0" fontId="8" fillId="0" borderId="0" xfId="59" applyFont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5" fillId="0" borderId="0" xfId="60" applyFont="1" applyAlignment="1">
      <alignment vertical="top" wrapText="1"/>
      <protection/>
    </xf>
    <xf numFmtId="0" fontId="5" fillId="32" borderId="0" xfId="60" applyFont="1" applyFill="1" applyAlignment="1">
      <alignment vertical="top" wrapText="1"/>
      <protection/>
    </xf>
    <xf numFmtId="0" fontId="46" fillId="0" borderId="0" xfId="61" applyFont="1" applyAlignment="1">
      <alignment vertical="center" wrapText="1"/>
      <protection/>
    </xf>
    <xf numFmtId="0" fontId="46" fillId="0" borderId="0" xfId="61" applyFont="1" applyAlignment="1" quotePrefix="1">
      <alignment vertical="center" wrapText="1"/>
      <protection/>
    </xf>
    <xf numFmtId="0" fontId="46" fillId="0" borderId="0" xfId="62" applyFont="1" applyAlignment="1" quotePrefix="1">
      <alignment vertical="center" wrapText="1"/>
      <protection/>
    </xf>
    <xf numFmtId="0" fontId="31" fillId="0" borderId="0" xfId="0" applyFont="1" applyAlignment="1">
      <alignment vertical="top"/>
    </xf>
    <xf numFmtId="0" fontId="50" fillId="0" borderId="0" xfId="62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XMD1K551\file:\\Afafileserver\Audit-Share\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XMD1K551\file:\\C:\Users\tsveti\AppData\Local\Microsoft\Windows\INetCache\Content.Outlook\JUV2LYUV\PETKOVA%20%20RABOTEN-31.12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XMD1K551\file:\\C:\Users\Ivaylo%20Yanchev\AppData\Local\Microsoft\Windows\INetCache\Content.Outlook\M5S7R6SL\PETKOVA%20%20RABOTEN-31.12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15 A"/>
      <sheetName val="ЗАЛОЗИ ПО КРЕДИТИ"/>
      <sheetName val="16"/>
      <sheetName val="16 A"/>
      <sheetName val="17"/>
      <sheetName val="ЗАЛОЗИ "/>
      <sheetName val="17 а"/>
      <sheetName val="17 b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  "/>
      <sheetName val="24"/>
      <sheetName val="24 a"/>
      <sheetName val="24 b "/>
      <sheetName val="25"/>
      <sheetName val="25 a"/>
      <sheetName val="26 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30"/>
      <sheetName val="31"/>
      <sheetName val="32"/>
      <sheetName val="32 a"/>
      <sheetName val="32 b"/>
      <sheetName val="32 c"/>
      <sheetName val="33"/>
      <sheetName val="34-38"/>
      <sheetName val="39"/>
      <sheetName val="39 а"/>
      <sheetName val="40"/>
      <sheetName val="40 a"/>
      <sheetName val="41"/>
      <sheetName val="41 - ОБОБЩЕНА"/>
      <sheetName val="41 -валутен риск"/>
      <sheetName val="41-валутна чувст."/>
      <sheetName val="41-кредитен риск"/>
      <sheetName val="41 - матуритет"/>
      <sheetName val="41 - лихвен анализ  "/>
      <sheetName val="41-лихвена чувст."/>
      <sheetName val="41 - капиталов риск"/>
      <sheetName val="42- сегменти"/>
      <sheetName val="43- свързани лица "/>
      <sheetName val="43-сделки свързани лица"/>
      <sheetName val="44-общ ефект на от МСФО 9 и 15"/>
      <sheetName val="44.1. -ефекти от МСФО 9 и 15"/>
      <sheetName val="44.2 - ефекти ву НПч"/>
      <sheetName val="44.3-ефект към 31.12.2018"/>
      <sheetName val="44 - работен"/>
    </sheetNames>
    <sheetDataSet>
      <sheetData sheetId="48">
        <row r="10">
          <cell r="E10">
            <v>0.34157364010882546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15 A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и НП   "/>
      <sheetName val="24"/>
      <sheetName val="24 a"/>
      <sheetName val="24 b "/>
      <sheetName val="25"/>
      <sheetName val="25 a"/>
      <sheetName val="26 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"/>
      <sheetName val="32 a"/>
      <sheetName val="32 b"/>
      <sheetName val="32 c"/>
      <sheetName val="33"/>
      <sheetName val="34-38"/>
      <sheetName val="39"/>
      <sheetName val="39 а"/>
      <sheetName val="40"/>
      <sheetName val="40 a"/>
      <sheetName val="41"/>
      <sheetName val="41 - ОБОБЩЕНА"/>
      <sheetName val="41.1 - кредитен риск"/>
      <sheetName val="41.2-кредитен риск"/>
      <sheetName val="41.3-кредитен риск"/>
      <sheetName val="41.4-кредитен риск"/>
      <sheetName val="41 -валутен риск"/>
      <sheetName val="41-валутна чувст."/>
      <sheetName val="41 - матуритет"/>
      <sheetName val="41 - лихвен анализ  "/>
      <sheetName val="41 - капиталов риск"/>
      <sheetName val="41-лихвена чувст."/>
      <sheetName val="42- сегменти"/>
      <sheetName val="43- свързани лица "/>
      <sheetName val="43-сделки свързани лица"/>
      <sheetName val="44-общ ефект на от МСФО 9 и 15"/>
      <sheetName val="44 - ефекти ву НПч"/>
      <sheetName val="44 -ефекти от рекласификация"/>
    </sheetNames>
    <sheetDataSet>
      <sheetData sheetId="49">
        <row r="10">
          <cell r="D10">
            <v>0.26469242069356574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3" customWidth="1"/>
    <col min="3" max="3" width="17.57421875" style="23" customWidth="1"/>
    <col min="4" max="4" width="10.00390625" style="23" customWidth="1"/>
    <col min="5" max="9" width="9.28125" style="23" customWidth="1"/>
    <col min="10" max="16384" width="9.28125" style="23" hidden="1" customWidth="1"/>
  </cols>
  <sheetData>
    <row r="1" spans="1:8" ht="18.75">
      <c r="A1" s="21" t="s">
        <v>30</v>
      </c>
      <c r="B1" s="22"/>
      <c r="C1" s="22"/>
      <c r="D1" s="311" t="s">
        <v>111</v>
      </c>
      <c r="E1" s="312"/>
      <c r="F1" s="22"/>
      <c r="G1" s="22"/>
      <c r="H1" s="22"/>
    </row>
    <row r="2" ht="12.75"/>
    <row r="3" ht="12.75"/>
    <row r="4" ht="12.75"/>
    <row r="5" spans="1:9" ht="18.75">
      <c r="A5" s="24" t="s">
        <v>149</v>
      </c>
      <c r="D5" s="237" t="s">
        <v>99</v>
      </c>
      <c r="E5" s="238"/>
      <c r="F5" s="25"/>
      <c r="G5" s="25"/>
      <c r="H5" s="25"/>
      <c r="I5" s="25"/>
    </row>
    <row r="6" spans="1:9" ht="17.25" customHeight="1">
      <c r="A6" s="24"/>
      <c r="D6" s="308" t="s">
        <v>9</v>
      </c>
      <c r="E6" s="309"/>
      <c r="F6" s="309"/>
      <c r="G6" s="25"/>
      <c r="H6" s="25"/>
      <c r="I6" s="25"/>
    </row>
    <row r="7" spans="1:9" ht="18.75">
      <c r="A7" s="24"/>
      <c r="D7" s="237" t="s">
        <v>14</v>
      </c>
      <c r="E7" s="238"/>
      <c r="F7" s="25"/>
      <c r="G7" s="25"/>
      <c r="H7" s="25"/>
      <c r="I7" s="25"/>
    </row>
    <row r="8" spans="1:9" ht="18.75">
      <c r="A8" s="24"/>
      <c r="D8" s="308" t="s">
        <v>18</v>
      </c>
      <c r="E8" s="309"/>
      <c r="F8" s="309"/>
      <c r="G8" s="25"/>
      <c r="H8" s="25"/>
      <c r="I8" s="25"/>
    </row>
    <row r="9" spans="1:9" ht="16.5">
      <c r="A9" s="26"/>
      <c r="D9" s="237" t="s">
        <v>31</v>
      </c>
      <c r="E9" s="238"/>
      <c r="F9" s="26"/>
      <c r="G9" s="25"/>
      <c r="H9" s="25"/>
      <c r="I9" s="25"/>
    </row>
    <row r="10" spans="1:9" ht="18.75">
      <c r="A10" s="24"/>
      <c r="D10" s="239"/>
      <c r="E10" s="239"/>
      <c r="F10" s="25"/>
      <c r="G10" s="25"/>
      <c r="H10" s="25"/>
      <c r="I10" s="25"/>
    </row>
    <row r="11" spans="1:9" ht="18.75">
      <c r="A11" s="24"/>
      <c r="D11" s="14"/>
      <c r="E11" s="14"/>
      <c r="F11" s="14"/>
      <c r="G11" s="25"/>
      <c r="H11" s="25"/>
      <c r="I11" s="25"/>
    </row>
    <row r="12" spans="1:7" ht="18.75">
      <c r="A12" s="24" t="s">
        <v>32</v>
      </c>
      <c r="D12" s="14" t="s">
        <v>99</v>
      </c>
      <c r="E12" s="45"/>
      <c r="F12" s="45"/>
      <c r="G12" s="46"/>
    </row>
    <row r="13" spans="4:9" ht="16.5">
      <c r="D13" s="14"/>
      <c r="E13" s="45"/>
      <c r="F13" s="45"/>
      <c r="G13" s="48"/>
      <c r="H13" s="25"/>
      <c r="I13" s="25"/>
    </row>
    <row r="14" spans="4:9" ht="16.5">
      <c r="D14" s="14"/>
      <c r="E14" s="45"/>
      <c r="F14" s="45"/>
      <c r="G14" s="48"/>
      <c r="H14" s="25"/>
      <c r="I14" s="25"/>
    </row>
    <row r="15" spans="1:9" ht="18.75">
      <c r="A15" s="24" t="s">
        <v>33</v>
      </c>
      <c r="D15" s="310" t="s">
        <v>13</v>
      </c>
      <c r="E15" s="309"/>
      <c r="F15" s="309"/>
      <c r="G15" s="48"/>
      <c r="H15" s="25"/>
      <c r="I15" s="25"/>
    </row>
    <row r="16" spans="1:9" ht="18.75">
      <c r="A16" s="24"/>
      <c r="D16" s="14"/>
      <c r="E16" s="45"/>
      <c r="F16" s="45"/>
      <c r="G16" s="48"/>
      <c r="H16" s="25"/>
      <c r="I16" s="25"/>
    </row>
    <row r="17" spans="1:9" ht="18.75">
      <c r="A17" s="240"/>
      <c r="D17" s="14"/>
      <c r="E17" s="45"/>
      <c r="F17" s="45"/>
      <c r="G17" s="48"/>
      <c r="H17" s="25"/>
      <c r="I17" s="25"/>
    </row>
    <row r="18" spans="1:9" ht="18.75">
      <c r="A18" s="24" t="s">
        <v>150</v>
      </c>
      <c r="B18" s="24"/>
      <c r="C18" s="24"/>
      <c r="D18" s="14" t="s">
        <v>8</v>
      </c>
      <c r="E18" s="45"/>
      <c r="F18" s="45"/>
      <c r="G18" s="48"/>
      <c r="H18" s="25"/>
      <c r="I18" s="25"/>
    </row>
    <row r="19" spans="1:9" ht="18.75">
      <c r="A19" s="24"/>
      <c r="B19" s="24"/>
      <c r="C19" s="24"/>
      <c r="D19" s="14"/>
      <c r="E19" s="45"/>
      <c r="F19" s="45"/>
      <c r="G19" s="48"/>
      <c r="H19" s="25"/>
      <c r="I19" s="25"/>
    </row>
    <row r="20" spans="1:9" ht="18.75">
      <c r="A20" s="24"/>
      <c r="D20" s="14"/>
      <c r="E20" s="45"/>
      <c r="F20" s="45"/>
      <c r="G20" s="46"/>
      <c r="H20" s="24"/>
      <c r="I20" s="24"/>
    </row>
    <row r="21" spans="1:7" ht="36" customHeight="1">
      <c r="A21" s="306" t="s">
        <v>34</v>
      </c>
      <c r="B21" s="307"/>
      <c r="C21" s="307"/>
      <c r="D21" s="237" t="s">
        <v>5</v>
      </c>
      <c r="E21" s="243"/>
      <c r="F21" s="243"/>
      <c r="G21" s="46"/>
    </row>
    <row r="22" spans="1:7" ht="18.75">
      <c r="A22" s="240"/>
      <c r="B22" s="241"/>
      <c r="C22" s="242"/>
      <c r="D22" s="237"/>
      <c r="E22" s="243"/>
      <c r="F22" s="243"/>
      <c r="G22" s="46"/>
    </row>
    <row r="23" spans="1:7" ht="18.75">
      <c r="A23" s="24"/>
      <c r="C23" s="242"/>
      <c r="D23" s="14"/>
      <c r="E23" s="45"/>
      <c r="F23" s="45"/>
      <c r="G23" s="46"/>
    </row>
    <row r="24" spans="1:7" ht="18.75">
      <c r="A24" s="24" t="s">
        <v>35</v>
      </c>
      <c r="D24" s="14" t="s">
        <v>89</v>
      </c>
      <c r="E24" s="45"/>
      <c r="F24" s="45"/>
      <c r="G24" s="46"/>
    </row>
    <row r="25" spans="1:7" ht="18.75">
      <c r="A25" s="24"/>
      <c r="D25" s="14" t="s">
        <v>3</v>
      </c>
      <c r="E25" s="45"/>
      <c r="F25" s="45"/>
      <c r="G25" s="46"/>
    </row>
    <row r="26" spans="1:7" ht="18.75">
      <c r="A26" s="24"/>
      <c r="D26" s="25"/>
      <c r="E26" s="48"/>
      <c r="F26" s="48"/>
      <c r="G26" s="46"/>
    </row>
    <row r="27" spans="1:7" ht="18.75">
      <c r="A27" s="24"/>
      <c r="D27" s="14"/>
      <c r="E27" s="46"/>
      <c r="F27" s="46"/>
      <c r="G27" s="46"/>
    </row>
    <row r="28" spans="1:7" ht="18.75">
      <c r="A28" s="240" t="s">
        <v>36</v>
      </c>
      <c r="B28" s="241"/>
      <c r="C28" s="242"/>
      <c r="D28" s="237" t="s">
        <v>4</v>
      </c>
      <c r="E28" s="243"/>
      <c r="F28" s="244"/>
      <c r="G28" s="244"/>
    </row>
    <row r="29" spans="1:7" ht="18.75">
      <c r="A29" s="240"/>
      <c r="B29" s="241"/>
      <c r="C29" s="242"/>
      <c r="D29" s="237" t="s">
        <v>6</v>
      </c>
      <c r="E29" s="243"/>
      <c r="F29" s="244"/>
      <c r="G29" s="245"/>
    </row>
    <row r="30" spans="1:7" ht="18.75">
      <c r="A30" s="240"/>
      <c r="B30" s="241"/>
      <c r="C30" s="242"/>
      <c r="D30" s="237" t="s">
        <v>10</v>
      </c>
      <c r="E30" s="243"/>
      <c r="F30" s="244"/>
      <c r="G30" s="245"/>
    </row>
    <row r="31" spans="1:7" ht="18.75">
      <c r="A31" s="240"/>
      <c r="B31" s="241"/>
      <c r="C31" s="242"/>
      <c r="D31" s="237" t="s">
        <v>20</v>
      </c>
      <c r="E31" s="243"/>
      <c r="F31" s="244"/>
      <c r="G31" s="245"/>
    </row>
    <row r="32" spans="1:7" ht="18.75">
      <c r="A32" s="240"/>
      <c r="B32" s="241"/>
      <c r="C32" s="241"/>
      <c r="D32" s="237" t="s">
        <v>21</v>
      </c>
      <c r="E32" s="245"/>
      <c r="F32" s="245"/>
      <c r="G32" s="245"/>
    </row>
    <row r="33" spans="1:7" ht="18.75">
      <c r="A33" s="240"/>
      <c r="B33" s="241"/>
      <c r="C33" s="239"/>
      <c r="D33" s="237" t="s">
        <v>15</v>
      </c>
      <c r="E33" s="238"/>
      <c r="F33" s="244"/>
      <c r="G33" s="245"/>
    </row>
    <row r="34" spans="1:7" ht="18.75">
      <c r="A34" s="24"/>
      <c r="D34" s="14"/>
      <c r="E34" s="49"/>
      <c r="F34" s="46"/>
      <c r="G34" s="49"/>
    </row>
    <row r="35" spans="1:9" ht="18.75">
      <c r="A35" s="24" t="s">
        <v>37</v>
      </c>
      <c r="D35" s="237" t="s">
        <v>151</v>
      </c>
      <c r="E35" s="243"/>
      <c r="F35" s="243"/>
      <c r="G35" s="243"/>
      <c r="H35" s="24"/>
      <c r="I35" s="24"/>
    </row>
    <row r="36" spans="1:9" ht="18.75">
      <c r="A36" s="24"/>
      <c r="D36" s="237" t="s">
        <v>7</v>
      </c>
      <c r="E36" s="243"/>
      <c r="F36" s="243"/>
      <c r="G36" s="243"/>
      <c r="H36" s="24"/>
      <c r="I36" s="24"/>
    </row>
    <row r="37" spans="1:7" ht="18.75">
      <c r="A37" s="24"/>
      <c r="D37" s="237" t="s">
        <v>38</v>
      </c>
      <c r="E37" s="243"/>
      <c r="F37" s="243"/>
      <c r="G37" s="243"/>
    </row>
    <row r="38" spans="1:8" ht="18.75">
      <c r="A38" s="24"/>
      <c r="D38" s="237" t="s">
        <v>153</v>
      </c>
      <c r="E38" s="243"/>
      <c r="F38" s="243"/>
      <c r="G38" s="243"/>
      <c r="H38" s="241"/>
    </row>
    <row r="39" spans="1:8" ht="18.75">
      <c r="A39" s="24"/>
      <c r="D39" s="237" t="s">
        <v>152</v>
      </c>
      <c r="E39" s="243"/>
      <c r="F39" s="243"/>
      <c r="G39" s="243"/>
      <c r="H39" s="241"/>
    </row>
    <row r="40" spans="1:8" ht="18.75">
      <c r="A40" s="24"/>
      <c r="D40" s="237" t="s">
        <v>16</v>
      </c>
      <c r="E40" s="243"/>
      <c r="F40" s="243"/>
      <c r="G40" s="243"/>
      <c r="H40" s="241"/>
    </row>
    <row r="41" spans="1:8" ht="18.75">
      <c r="A41" s="24"/>
      <c r="D41" s="237" t="s">
        <v>11</v>
      </c>
      <c r="E41" s="243"/>
      <c r="F41" s="243"/>
      <c r="G41" s="243"/>
      <c r="H41" s="241"/>
    </row>
    <row r="42" spans="1:8" ht="18.75">
      <c r="A42" s="24"/>
      <c r="D42" s="237" t="s">
        <v>17</v>
      </c>
      <c r="E42" s="243"/>
      <c r="F42" s="243"/>
      <c r="G42" s="243"/>
      <c r="H42" s="241"/>
    </row>
    <row r="43" spans="1:7" ht="18.75">
      <c r="A43" s="24"/>
      <c r="D43" s="237"/>
      <c r="E43" s="245"/>
      <c r="F43" s="244"/>
      <c r="G43" s="245"/>
    </row>
    <row r="44" spans="1:8" ht="18.75">
      <c r="A44" s="24" t="s">
        <v>39</v>
      </c>
      <c r="D44" s="25" t="s">
        <v>25</v>
      </c>
      <c r="E44" s="49"/>
      <c r="F44" s="49"/>
      <c r="G44" s="245"/>
      <c r="H44" s="241"/>
    </row>
    <row r="45" spans="1:7" ht="18.75">
      <c r="A45" s="24"/>
      <c r="E45" s="49"/>
      <c r="F45" s="46"/>
      <c r="G45" s="49"/>
    </row>
    <row r="46" spans="1:6" ht="18.75">
      <c r="A46" s="24"/>
      <c r="F46" s="24"/>
    </row>
    <row r="47" spans="1:6" ht="18.75">
      <c r="A47" s="24"/>
      <c r="F47" s="24"/>
    </row>
    <row r="48" spans="1:6" ht="18.75">
      <c r="A48" s="24"/>
      <c r="F48" s="24"/>
    </row>
    <row r="49" spans="1:6" ht="18.75">
      <c r="A49" s="24"/>
      <c r="F49" s="24"/>
    </row>
    <row r="50" spans="1:6" ht="18.75">
      <c r="A50" s="24"/>
      <c r="F50" s="24"/>
    </row>
    <row r="51" spans="1:6" ht="18.75">
      <c r="A51" s="24"/>
      <c r="F51" s="24"/>
    </row>
    <row r="52" spans="1:6" ht="18.75">
      <c r="A52" s="24"/>
      <c r="F52" s="24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 hidden="1"/>
  </sheetData>
  <sheetProtection/>
  <mergeCells count="5">
    <mergeCell ref="A21:C21"/>
    <mergeCell ref="D6:F6"/>
    <mergeCell ref="D8:F8"/>
    <mergeCell ref="D15:F15"/>
    <mergeCell ref="D1:E1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62.421875" style="12" customWidth="1"/>
    <col min="2" max="2" width="10.8515625" style="32" customWidth="1"/>
    <col min="3" max="3" width="11.8515625" style="32" customWidth="1"/>
    <col min="4" max="4" width="1.8515625" style="32" customWidth="1"/>
    <col min="5" max="5" width="12.7109375" style="32" customWidth="1"/>
    <col min="6" max="16384" width="11.421875" style="12" customWidth="1"/>
  </cols>
  <sheetData>
    <row r="1" spans="1:5" ht="15">
      <c r="A1" s="313" t="s">
        <v>110</v>
      </c>
      <c r="B1" s="314"/>
      <c r="C1" s="314"/>
      <c r="D1" s="314"/>
      <c r="E1" s="314"/>
    </row>
    <row r="2" spans="1:5" s="34" customFormat="1" ht="15">
      <c r="A2" s="315" t="s">
        <v>154</v>
      </c>
      <c r="B2" s="316"/>
      <c r="C2" s="316"/>
      <c r="D2" s="316"/>
      <c r="E2" s="316"/>
    </row>
    <row r="3" spans="1:5" ht="15">
      <c r="A3" s="71" t="s">
        <v>90</v>
      </c>
      <c r="B3" s="72"/>
      <c r="C3" s="110"/>
      <c r="D3" s="72"/>
      <c r="E3" s="72"/>
    </row>
    <row r="4" spans="1:5" ht="15" customHeight="1">
      <c r="A4" s="101"/>
      <c r="B4" s="317" t="s">
        <v>1</v>
      </c>
      <c r="C4" s="318" t="s">
        <v>26</v>
      </c>
      <c r="D4" s="73"/>
      <c r="E4" s="318" t="s">
        <v>29</v>
      </c>
    </row>
    <row r="5" spans="1:5" ht="12.75" customHeight="1">
      <c r="A5" s="112"/>
      <c r="B5" s="317"/>
      <c r="C5" s="318"/>
      <c r="D5" s="73"/>
      <c r="E5" s="318"/>
    </row>
    <row r="6" spans="1:5" ht="35.25" customHeight="1">
      <c r="A6" s="102"/>
      <c r="C6" s="141"/>
      <c r="E6" s="141" t="s">
        <v>100</v>
      </c>
    </row>
    <row r="7" ht="15">
      <c r="A7" s="89"/>
    </row>
    <row r="8" spans="1:6" ht="15">
      <c r="A8" s="247" t="s">
        <v>40</v>
      </c>
      <c r="B8" s="32">
        <v>3</v>
      </c>
      <c r="C8" s="119">
        <f>210784+1634</f>
        <v>212418</v>
      </c>
      <c r="D8" s="86"/>
      <c r="E8" s="119">
        <f>217485+1594</f>
        <v>219079</v>
      </c>
      <c r="F8" s="131"/>
    </row>
    <row r="9" spans="1:7" ht="15">
      <c r="A9" s="247" t="s">
        <v>41</v>
      </c>
      <c r="B9" s="32">
        <v>4</v>
      </c>
      <c r="C9" s="119">
        <f>6544-1634</f>
        <v>4910</v>
      </c>
      <c r="D9" s="200"/>
      <c r="E9" s="119">
        <f>4674-1594</f>
        <v>3080</v>
      </c>
      <c r="F9" s="104"/>
      <c r="G9" s="105"/>
    </row>
    <row r="10" spans="1:7" ht="27" customHeight="1">
      <c r="A10" s="248" t="s">
        <v>42</v>
      </c>
      <c r="C10" s="119">
        <f>1985+31</f>
        <v>2016</v>
      </c>
      <c r="D10" s="119"/>
      <c r="E10" s="119">
        <v>6439</v>
      </c>
      <c r="F10" s="104"/>
      <c r="G10" s="105"/>
    </row>
    <row r="11" spans="1:7" ht="15">
      <c r="A11" s="247" t="s">
        <v>155</v>
      </c>
      <c r="B11" s="97">
        <v>5</v>
      </c>
      <c r="C11" s="119">
        <v>-75752</v>
      </c>
      <c r="D11" s="119"/>
      <c r="E11" s="119">
        <v>-76906</v>
      </c>
      <c r="F11" s="104"/>
      <c r="G11" s="105"/>
    </row>
    <row r="12" spans="1:7" ht="15">
      <c r="A12" s="247" t="s">
        <v>156</v>
      </c>
      <c r="B12" s="32">
        <v>6</v>
      </c>
      <c r="C12" s="119">
        <f>-38647-7</f>
        <v>-38654</v>
      </c>
      <c r="D12" s="119"/>
      <c r="E12" s="119">
        <v>-33921</v>
      </c>
      <c r="F12" s="104"/>
      <c r="G12" s="105"/>
    </row>
    <row r="13" spans="1:7" ht="15">
      <c r="A13" s="247" t="s">
        <v>43</v>
      </c>
      <c r="B13" s="32">
        <v>7</v>
      </c>
      <c r="C13" s="119">
        <v>-50147</v>
      </c>
      <c r="D13" s="119"/>
      <c r="E13" s="119">
        <v>-49233</v>
      </c>
      <c r="F13" s="104"/>
      <c r="G13" s="105"/>
    </row>
    <row r="14" spans="1:7" ht="15">
      <c r="A14" s="247" t="s">
        <v>44</v>
      </c>
      <c r="B14" s="32" t="s">
        <v>19</v>
      </c>
      <c r="C14" s="119">
        <f>-17414</f>
        <v>-17414</v>
      </c>
      <c r="D14" s="119"/>
      <c r="E14" s="119">
        <v>-18447</v>
      </c>
      <c r="F14" s="104"/>
      <c r="G14" s="105"/>
    </row>
    <row r="15" spans="1:7" ht="15">
      <c r="A15" s="247" t="s">
        <v>157</v>
      </c>
      <c r="B15" s="32">
        <v>8</v>
      </c>
      <c r="C15" s="119">
        <f>-8919-590-70</f>
        <v>-9579</v>
      </c>
      <c r="D15" s="86"/>
      <c r="E15" s="119">
        <v>-7225</v>
      </c>
      <c r="F15" s="104"/>
      <c r="G15" s="105"/>
    </row>
    <row r="16" spans="1:7" ht="15">
      <c r="A16" s="246" t="s">
        <v>158</v>
      </c>
      <c r="C16" s="120">
        <f>SUM(C8:C15)</f>
        <v>27798</v>
      </c>
      <c r="D16" s="119"/>
      <c r="E16" s="120">
        <f>SUM(E8:E15)</f>
        <v>42866</v>
      </c>
      <c r="F16" s="104"/>
      <c r="G16" s="105"/>
    </row>
    <row r="17" spans="1:5" ht="7.5" customHeight="1">
      <c r="A17" s="34"/>
      <c r="C17" s="121"/>
      <c r="D17" s="86"/>
      <c r="E17" s="121"/>
    </row>
    <row r="18" spans="1:5" ht="15">
      <c r="A18" s="34" t="s">
        <v>91</v>
      </c>
      <c r="B18" s="32">
        <v>10</v>
      </c>
      <c r="C18" s="143">
        <v>-76</v>
      </c>
      <c r="D18" s="86"/>
      <c r="E18" s="143">
        <v>-3956</v>
      </c>
    </row>
    <row r="19" spans="1:5" ht="6" customHeight="1">
      <c r="A19" s="34"/>
      <c r="C19" s="121"/>
      <c r="D19" s="86"/>
      <c r="E19" s="121"/>
    </row>
    <row r="20" spans="1:5" ht="15">
      <c r="A20" s="247" t="s">
        <v>45</v>
      </c>
      <c r="B20" s="32">
        <v>11</v>
      </c>
      <c r="C20" s="119">
        <v>10520</v>
      </c>
      <c r="D20" s="86"/>
      <c r="E20" s="119">
        <v>11684</v>
      </c>
    </row>
    <row r="21" spans="1:5" ht="15">
      <c r="A21" s="247" t="s">
        <v>45</v>
      </c>
      <c r="B21" s="32">
        <v>12</v>
      </c>
      <c r="C21" s="119">
        <f>-2411+10+656+36</f>
        <v>-1709</v>
      </c>
      <c r="D21" s="119"/>
      <c r="E21" s="119">
        <v>-2102</v>
      </c>
    </row>
    <row r="22" spans="1:5" ht="15">
      <c r="A22" s="249" t="s">
        <v>146</v>
      </c>
      <c r="C22" s="120">
        <f>C20+C21</f>
        <v>8811</v>
      </c>
      <c r="D22" s="119"/>
      <c r="E22" s="120">
        <f>E20+E21</f>
        <v>9582</v>
      </c>
    </row>
    <row r="23" spans="1:5" ht="8.25" customHeight="1">
      <c r="A23" s="74"/>
      <c r="C23" s="121"/>
      <c r="D23" s="90"/>
      <c r="E23" s="121"/>
    </row>
    <row r="24" spans="1:5" ht="15">
      <c r="A24" s="71" t="s">
        <v>92</v>
      </c>
      <c r="C24" s="122">
        <f>C16+C22+C18</f>
        <v>36533</v>
      </c>
      <c r="D24" s="86"/>
      <c r="E24" s="122">
        <f>E16+E22+E18</f>
        <v>48492</v>
      </c>
    </row>
    <row r="25" spans="1:5" ht="7.5" customHeight="1">
      <c r="A25" s="71"/>
      <c r="C25" s="123"/>
      <c r="D25" s="86"/>
      <c r="E25" s="123"/>
    </row>
    <row r="26" spans="1:5" ht="15">
      <c r="A26" s="246" t="s">
        <v>159</v>
      </c>
      <c r="B26" s="32">
        <v>13</v>
      </c>
      <c r="C26" s="119">
        <f>-3377+59+8-1+145-69</f>
        <v>-3235</v>
      </c>
      <c r="D26" s="86"/>
      <c r="E26" s="119">
        <v>-4264</v>
      </c>
    </row>
    <row r="27" spans="1:5" ht="15">
      <c r="A27" s="246"/>
      <c r="B27" s="31"/>
      <c r="C27" s="125"/>
      <c r="D27" s="119"/>
      <c r="E27" s="125"/>
    </row>
    <row r="28" spans="1:7" ht="15">
      <c r="A28" s="247" t="s">
        <v>160</v>
      </c>
      <c r="B28" s="139"/>
      <c r="C28" s="122">
        <f>C24+C26</f>
        <v>33298</v>
      </c>
      <c r="D28" s="87"/>
      <c r="E28" s="122">
        <f>E24+E26</f>
        <v>44228</v>
      </c>
      <c r="F28" s="104"/>
      <c r="G28" s="105"/>
    </row>
    <row r="29" spans="1:5" ht="8.25" customHeight="1">
      <c r="A29" s="71"/>
      <c r="B29" s="31"/>
      <c r="C29" s="113"/>
      <c r="D29" s="87"/>
      <c r="E29" s="113"/>
    </row>
    <row r="30" spans="1:5" ht="15">
      <c r="A30" s="250" t="s">
        <v>46</v>
      </c>
      <c r="B30" s="111"/>
      <c r="C30" s="130"/>
      <c r="D30" s="31"/>
      <c r="E30" s="130"/>
    </row>
    <row r="31" spans="1:5" ht="30">
      <c r="A31" s="251" t="s">
        <v>161</v>
      </c>
      <c r="B31" s="111"/>
      <c r="C31" s="144"/>
      <c r="D31" s="115"/>
      <c r="E31" s="144"/>
    </row>
    <row r="32" spans="1:10" ht="15">
      <c r="A32" s="332" t="s">
        <v>93</v>
      </c>
      <c r="B32" s="32">
        <v>15</v>
      </c>
      <c r="C32" s="145">
        <v>341</v>
      </c>
      <c r="D32" s="93"/>
      <c r="E32" s="145">
        <v>-42</v>
      </c>
      <c r="H32" s="104"/>
      <c r="J32" s="104"/>
    </row>
    <row r="33" spans="1:10" ht="30">
      <c r="A33" s="332" t="s">
        <v>106</v>
      </c>
      <c r="B33" s="32">
        <v>20</v>
      </c>
      <c r="C33" s="145">
        <f>-99-656-37</f>
        <v>-792</v>
      </c>
      <c r="D33" s="86"/>
      <c r="E33" s="145">
        <v>0</v>
      </c>
      <c r="H33" s="104"/>
      <c r="J33" s="104"/>
    </row>
    <row r="34" spans="1:5" ht="30">
      <c r="A34" s="332" t="s">
        <v>94</v>
      </c>
      <c r="B34" s="32">
        <v>32</v>
      </c>
      <c r="C34" s="147">
        <v>-30</v>
      </c>
      <c r="D34" s="146"/>
      <c r="E34" s="147">
        <v>-564</v>
      </c>
    </row>
    <row r="35" spans="1:5" ht="30">
      <c r="A35" s="332" t="s">
        <v>95</v>
      </c>
      <c r="B35" s="32">
        <v>13</v>
      </c>
      <c r="C35" s="143">
        <v>-34</v>
      </c>
      <c r="D35" s="147"/>
      <c r="E35" s="143">
        <v>4</v>
      </c>
    </row>
    <row r="36" spans="1:5" ht="15">
      <c r="A36" s="94"/>
      <c r="B36" s="111"/>
      <c r="C36" s="148">
        <f>SUM(C32:C35)</f>
        <v>-515</v>
      </c>
      <c r="D36" s="147"/>
      <c r="E36" s="148">
        <f>SUM(E32:E35)</f>
        <v>-602</v>
      </c>
    </row>
    <row r="37" spans="1:8" ht="30">
      <c r="A37" s="251" t="s">
        <v>161</v>
      </c>
      <c r="B37" s="111"/>
      <c r="C37" s="114"/>
      <c r="D37" s="93"/>
      <c r="E37" s="114"/>
      <c r="H37" s="104"/>
    </row>
    <row r="38" spans="1:8" ht="30">
      <c r="A38" s="252" t="s">
        <v>47</v>
      </c>
      <c r="C38" s="145">
        <v>0</v>
      </c>
      <c r="D38" s="95"/>
      <c r="E38" s="119">
        <v>1298</v>
      </c>
      <c r="H38" s="104"/>
    </row>
    <row r="39" spans="1:5" ht="15">
      <c r="A39" s="91"/>
      <c r="B39" s="49"/>
      <c r="C39" s="117">
        <f>SUM(C38:C38)</f>
        <v>0</v>
      </c>
      <c r="D39" s="119"/>
      <c r="E39" s="117">
        <f>SUM(E38:E38)</f>
        <v>1298</v>
      </c>
    </row>
    <row r="40" spans="1:5" ht="15">
      <c r="A40" s="253" t="s">
        <v>48</v>
      </c>
      <c r="B40" s="32">
        <v>14</v>
      </c>
      <c r="C40" s="118">
        <f>C36+C39</f>
        <v>-515</v>
      </c>
      <c r="D40" s="93"/>
      <c r="E40" s="118">
        <f>E36+E39</f>
        <v>696</v>
      </c>
    </row>
    <row r="41" spans="1:5" ht="7.5" customHeight="1">
      <c r="A41" s="91"/>
      <c r="B41" s="49"/>
      <c r="C41" s="115"/>
      <c r="D41" s="109"/>
      <c r="E41" s="115"/>
    </row>
    <row r="42" spans="1:5" ht="15.75" thickBot="1">
      <c r="A42" s="253" t="s">
        <v>136</v>
      </c>
      <c r="B42" s="111"/>
      <c r="C42" s="124">
        <f>C28+C40</f>
        <v>32783</v>
      </c>
      <c r="D42" s="109"/>
      <c r="E42" s="124">
        <f>E28+E40</f>
        <v>44924</v>
      </c>
    </row>
    <row r="43" spans="1:5" ht="9.75" customHeight="1" thickTop="1">
      <c r="A43" s="96"/>
      <c r="B43" s="111"/>
      <c r="C43" s="116"/>
      <c r="D43" s="109"/>
      <c r="E43" s="116"/>
    </row>
    <row r="44" spans="1:5" ht="15">
      <c r="A44" s="247" t="s">
        <v>49</v>
      </c>
      <c r="B44" s="32">
        <v>28</v>
      </c>
      <c r="C44" s="151">
        <f>'[3]28 c'!$D$10</f>
        <v>0.26469242069356574</v>
      </c>
      <c r="D44" s="92"/>
      <c r="E44" s="151">
        <f>'[2]28 c'!$E$10</f>
        <v>0.34157364010882546</v>
      </c>
    </row>
    <row r="45" spans="1:4" ht="15">
      <c r="A45" s="44"/>
      <c r="D45" s="149"/>
    </row>
    <row r="46" spans="1:3" ht="15">
      <c r="A46" s="254" t="s">
        <v>96</v>
      </c>
      <c r="C46" s="140"/>
    </row>
    <row r="48" spans="1:3" ht="15">
      <c r="A48" s="255" t="s">
        <v>50</v>
      </c>
      <c r="C48" s="31"/>
    </row>
    <row r="49" ht="15">
      <c r="A49" s="256" t="s">
        <v>99</v>
      </c>
    </row>
    <row r="50" ht="15">
      <c r="A50" s="255" t="s">
        <v>51</v>
      </c>
    </row>
    <row r="51" ht="15">
      <c r="A51" s="256" t="s">
        <v>13</v>
      </c>
    </row>
    <row r="52" ht="15">
      <c r="A52" s="257" t="s">
        <v>52</v>
      </c>
    </row>
    <row r="53" ht="15">
      <c r="A53" s="256" t="s">
        <v>8</v>
      </c>
    </row>
    <row r="54" ht="15">
      <c r="A54" s="333" t="s">
        <v>97</v>
      </c>
    </row>
    <row r="55" ht="15">
      <c r="A55" s="210" t="s">
        <v>98</v>
      </c>
    </row>
    <row r="56" spans="1:2" ht="15">
      <c r="A56" s="138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0"/>
  <sheetViews>
    <sheetView view="pageBreakPreview" zoomScale="110" zoomScaleSheetLayoutView="110" zoomScalePageLayoutView="0" workbookViewId="0" topLeftCell="A1">
      <selection activeCell="E22" sqref="E22"/>
    </sheetView>
  </sheetViews>
  <sheetFormatPr defaultColWidth="8.8515625" defaultRowHeight="12.75"/>
  <cols>
    <col min="1" max="1" width="49.8515625" style="0" customWidth="1"/>
    <col min="2" max="2" width="10.421875" style="0" customWidth="1"/>
    <col min="3" max="3" width="14.140625" style="0" customWidth="1"/>
    <col min="4" max="4" width="2.8515625" style="0" customWidth="1"/>
    <col min="5" max="5" width="13.421875" style="0" customWidth="1"/>
    <col min="6" max="6" width="3.421875" style="0" bestFit="1" customWidth="1"/>
    <col min="7" max="7" width="13.421875" style="0" customWidth="1"/>
  </cols>
  <sheetData>
    <row r="1" spans="1:7" ht="14.25">
      <c r="A1" s="258" t="s">
        <v>53</v>
      </c>
      <c r="B1" s="68"/>
      <c r="C1" s="68"/>
      <c r="D1" s="68"/>
      <c r="E1" s="27"/>
      <c r="F1" s="27"/>
      <c r="G1" s="137"/>
    </row>
    <row r="2" spans="1:6" ht="14.25">
      <c r="A2" s="259" t="s">
        <v>162</v>
      </c>
      <c r="B2" s="69"/>
      <c r="C2" s="69"/>
      <c r="D2" s="69"/>
      <c r="E2" s="28"/>
      <c r="F2" s="28"/>
    </row>
    <row r="3" spans="1:6" ht="15">
      <c r="A3" s="28" t="s">
        <v>90</v>
      </c>
      <c r="B3" s="70"/>
      <c r="C3" s="70"/>
      <c r="D3" s="70"/>
      <c r="E3" s="16"/>
      <c r="F3" s="16"/>
    </row>
    <row r="4" spans="1:8" ht="26.25" customHeight="1">
      <c r="A4" s="75"/>
      <c r="B4" s="317" t="s">
        <v>1</v>
      </c>
      <c r="C4" s="318" t="s">
        <v>101</v>
      </c>
      <c r="D4" s="73"/>
      <c r="E4" s="319" t="s">
        <v>102</v>
      </c>
      <c r="F4" s="150" t="s">
        <v>27</v>
      </c>
      <c r="G4" s="319" t="s">
        <v>103</v>
      </c>
      <c r="H4" s="205"/>
    </row>
    <row r="5" spans="2:7" ht="12" customHeight="1">
      <c r="B5" s="317"/>
      <c r="C5" s="321"/>
      <c r="D5" s="73"/>
      <c r="E5" s="320"/>
      <c r="F5" s="206"/>
      <c r="G5" s="320"/>
    </row>
    <row r="6" spans="2:7" ht="36" customHeight="1">
      <c r="B6" s="100"/>
      <c r="C6" s="142"/>
      <c r="D6" s="73"/>
      <c r="E6" s="305" t="s">
        <v>100</v>
      </c>
      <c r="F6" s="305"/>
      <c r="G6" s="305" t="s">
        <v>100</v>
      </c>
    </row>
    <row r="7" spans="1:7" ht="14.25">
      <c r="A7" s="259" t="s">
        <v>0</v>
      </c>
      <c r="B7" s="33"/>
      <c r="C7" s="33"/>
      <c r="D7" s="33"/>
      <c r="E7" s="33"/>
      <c r="F7" s="33"/>
      <c r="G7" s="33"/>
    </row>
    <row r="8" spans="1:7" ht="14.25">
      <c r="A8" s="259" t="s">
        <v>54</v>
      </c>
      <c r="B8" s="30"/>
      <c r="C8" s="30"/>
      <c r="D8" s="30"/>
      <c r="E8" s="30"/>
      <c r="F8" s="30"/>
      <c r="G8" s="30"/>
    </row>
    <row r="9" spans="1:7" ht="15">
      <c r="A9" s="260" t="s">
        <v>55</v>
      </c>
      <c r="B9" s="35">
        <v>15</v>
      </c>
      <c r="C9" s="152">
        <v>226956</v>
      </c>
      <c r="D9" s="35"/>
      <c r="E9" s="53">
        <v>239721</v>
      </c>
      <c r="F9" s="53"/>
      <c r="G9" s="53">
        <v>242605</v>
      </c>
    </row>
    <row r="10" spans="1:7" ht="15">
      <c r="A10" s="261" t="s">
        <v>56</v>
      </c>
      <c r="B10" s="35">
        <v>16</v>
      </c>
      <c r="C10" s="152">
        <v>11881</v>
      </c>
      <c r="D10" s="35"/>
      <c r="E10" s="53">
        <f>12457</f>
        <v>12457</v>
      </c>
      <c r="F10" s="53"/>
      <c r="G10" s="53">
        <v>12825</v>
      </c>
    </row>
    <row r="11" spans="1:7" ht="15">
      <c r="A11" s="260" t="s">
        <v>163</v>
      </c>
      <c r="B11" s="35">
        <v>17</v>
      </c>
      <c r="C11" s="152">
        <v>37451</v>
      </c>
      <c r="D11" s="35"/>
      <c r="E11" s="53">
        <v>24799</v>
      </c>
      <c r="F11" s="53"/>
      <c r="G11" s="53">
        <v>22840</v>
      </c>
    </row>
    <row r="12" spans="1:7" ht="15">
      <c r="A12" s="261" t="s">
        <v>164</v>
      </c>
      <c r="B12" s="35">
        <v>18</v>
      </c>
      <c r="C12" s="152">
        <f>89945</f>
        <v>89945</v>
      </c>
      <c r="D12" s="35"/>
      <c r="E12" s="53">
        <v>89729</v>
      </c>
      <c r="F12" s="53"/>
      <c r="G12" s="53">
        <v>88751</v>
      </c>
    </row>
    <row r="13" spans="1:7" ht="15">
      <c r="A13" s="261" t="s">
        <v>104</v>
      </c>
      <c r="B13" s="35">
        <v>19</v>
      </c>
      <c r="C13" s="152">
        <v>7962</v>
      </c>
      <c r="D13" s="35"/>
      <c r="E13" s="53">
        <v>7740</v>
      </c>
      <c r="F13" s="53"/>
      <c r="G13" s="53">
        <v>5219</v>
      </c>
    </row>
    <row r="14" spans="1:7" ht="15">
      <c r="A14" s="334" t="s">
        <v>105</v>
      </c>
      <c r="B14" s="35">
        <v>20</v>
      </c>
      <c r="C14" s="152">
        <v>7599</v>
      </c>
      <c r="D14" s="35"/>
      <c r="E14" s="53">
        <v>7552</v>
      </c>
      <c r="F14" s="53"/>
      <c r="G14" s="53">
        <v>5293</v>
      </c>
    </row>
    <row r="15" spans="1:7" ht="30">
      <c r="A15" s="262" t="s">
        <v>107</v>
      </c>
      <c r="B15" s="35">
        <v>21</v>
      </c>
      <c r="C15" s="152">
        <v>23055</v>
      </c>
      <c r="D15" s="35"/>
      <c r="E15" s="53">
        <f>21583</f>
        <v>21583</v>
      </c>
      <c r="F15" s="202"/>
      <c r="G15" s="53">
        <v>11047</v>
      </c>
    </row>
    <row r="16" spans="1:7" ht="15">
      <c r="A16" s="262" t="s">
        <v>57</v>
      </c>
      <c r="B16" s="35">
        <v>22</v>
      </c>
      <c r="C16" s="152">
        <v>5760</v>
      </c>
      <c r="D16" s="35"/>
      <c r="E16" s="53">
        <f>4210</f>
        <v>4210</v>
      </c>
      <c r="F16" s="202"/>
      <c r="G16" s="53">
        <v>3714</v>
      </c>
    </row>
    <row r="17" spans="1:11" ht="15">
      <c r="A17" s="13"/>
      <c r="B17" s="127"/>
      <c r="C17" s="55">
        <f>SUM(C9:C16)</f>
        <v>410609</v>
      </c>
      <c r="D17" s="30"/>
      <c r="E17" s="55">
        <f>SUM(E9:E16)</f>
        <v>407791</v>
      </c>
      <c r="F17" s="56"/>
      <c r="G17" s="55">
        <f>SUM(G9:G16)</f>
        <v>392294</v>
      </c>
      <c r="K17" s="150" t="s">
        <v>12</v>
      </c>
    </row>
    <row r="18" spans="1:7" ht="14.25" customHeight="1">
      <c r="A18" s="259" t="s">
        <v>58</v>
      </c>
      <c r="B18" s="30"/>
      <c r="C18" s="54"/>
      <c r="D18" s="30"/>
      <c r="E18" s="54"/>
      <c r="F18" s="54"/>
      <c r="G18" s="54"/>
    </row>
    <row r="19" spans="1:7" ht="15">
      <c r="A19" s="260" t="s">
        <v>59</v>
      </c>
      <c r="B19" s="35">
        <v>23</v>
      </c>
      <c r="C19" s="53">
        <v>68499</v>
      </c>
      <c r="D19" s="35"/>
      <c r="E19" s="53">
        <v>69018</v>
      </c>
      <c r="F19" s="53"/>
      <c r="G19" s="53">
        <v>64314</v>
      </c>
    </row>
    <row r="20" spans="1:7" ht="15">
      <c r="A20" s="260" t="s">
        <v>60</v>
      </c>
      <c r="B20" s="35">
        <v>24</v>
      </c>
      <c r="C20" s="53">
        <v>91509</v>
      </c>
      <c r="D20" s="203"/>
      <c r="E20" s="53">
        <f>77218</f>
        <v>77218</v>
      </c>
      <c r="F20" s="202"/>
      <c r="G20" s="53">
        <v>75779</v>
      </c>
    </row>
    <row r="21" spans="1:7" ht="15">
      <c r="A21" s="260" t="s">
        <v>61</v>
      </c>
      <c r="B21" s="35">
        <v>25</v>
      </c>
      <c r="C21" s="152">
        <f>19721-220-70</f>
        <v>19431</v>
      </c>
      <c r="D21" s="35"/>
      <c r="E21" s="258" t="s">
        <v>53</v>
      </c>
      <c r="F21" s="202"/>
      <c r="G21" s="53">
        <v>26832</v>
      </c>
    </row>
    <row r="22" spans="1:7" ht="15">
      <c r="A22" s="263" t="s">
        <v>62</v>
      </c>
      <c r="B22" s="35" t="s">
        <v>22</v>
      </c>
      <c r="C22" s="53">
        <v>3270</v>
      </c>
      <c r="D22" s="35"/>
      <c r="E22" s="259" t="s">
        <v>162</v>
      </c>
      <c r="F22" s="202"/>
      <c r="G22" s="53">
        <v>2445</v>
      </c>
    </row>
    <row r="23" spans="1:7" ht="28.5" customHeight="1">
      <c r="A23" s="262" t="s">
        <v>63</v>
      </c>
      <c r="B23" s="35" t="s">
        <v>23</v>
      </c>
      <c r="C23" s="152">
        <f>5717+220</f>
        <v>5937</v>
      </c>
      <c r="D23" s="35"/>
      <c r="E23" s="53">
        <v>4901</v>
      </c>
      <c r="F23" s="53"/>
      <c r="G23" s="53">
        <f>5581</f>
        <v>5581</v>
      </c>
    </row>
    <row r="24" spans="1:7" ht="15">
      <c r="A24" s="260" t="s">
        <v>64</v>
      </c>
      <c r="B24" s="35">
        <v>27</v>
      </c>
      <c r="C24" s="53">
        <v>8971</v>
      </c>
      <c r="D24" s="35"/>
      <c r="E24" s="53">
        <v>5764</v>
      </c>
      <c r="F24" s="53"/>
      <c r="G24" s="53">
        <v>11146</v>
      </c>
    </row>
    <row r="25" spans="1:7" ht="14.25">
      <c r="A25" s="28"/>
      <c r="B25" s="30"/>
      <c r="C25" s="55">
        <f>SUM(C19:C24)</f>
        <v>197617</v>
      </c>
      <c r="D25" s="30"/>
      <c r="E25" s="55">
        <f>SUM(E19:E24)</f>
        <v>156901</v>
      </c>
      <c r="F25" s="56"/>
      <c r="G25" s="55">
        <f>SUM(G19:G24)</f>
        <v>186097</v>
      </c>
    </row>
    <row r="26" spans="1:7" ht="8.25" customHeight="1">
      <c r="A26" s="28"/>
      <c r="B26" s="30"/>
      <c r="C26" s="56"/>
      <c r="D26" s="30"/>
      <c r="E26" s="56"/>
      <c r="F26" s="56"/>
      <c r="G26" s="56"/>
    </row>
    <row r="27" spans="1:7" ht="15.75" customHeight="1" thickBot="1">
      <c r="A27" s="259" t="s">
        <v>165</v>
      </c>
      <c r="B27" s="127"/>
      <c r="C27" s="57">
        <f>SUM(C17+C25)</f>
        <v>608226</v>
      </c>
      <c r="D27" s="30"/>
      <c r="E27" s="57">
        <f>SUM(E17+E25)</f>
        <v>564692</v>
      </c>
      <c r="F27" s="56"/>
      <c r="G27" s="57">
        <f>SUM(G17+G25)</f>
        <v>578391</v>
      </c>
    </row>
    <row r="28" spans="1:7" ht="10.5" customHeight="1" thickTop="1">
      <c r="A28" s="16"/>
      <c r="B28" s="35"/>
      <c r="C28" s="54"/>
      <c r="D28" s="35"/>
      <c r="E28" s="54"/>
      <c r="F28" s="54"/>
      <c r="G28" s="54"/>
    </row>
    <row r="29" spans="1:7" ht="15.75" customHeight="1">
      <c r="A29" s="259" t="s">
        <v>166</v>
      </c>
      <c r="B29" s="33"/>
      <c r="C29" s="76"/>
      <c r="D29" s="33"/>
      <c r="E29" s="76"/>
      <c r="F29" s="76"/>
      <c r="G29" s="76"/>
    </row>
    <row r="30" spans="1:7" ht="17.25" customHeight="1">
      <c r="A30" s="264" t="s">
        <v>167</v>
      </c>
      <c r="B30" s="33"/>
      <c r="C30" s="76"/>
      <c r="D30" s="33"/>
      <c r="E30" s="76"/>
      <c r="F30" s="76"/>
      <c r="G30" s="76"/>
    </row>
    <row r="31" spans="1:7" ht="15">
      <c r="A31" s="260" t="s">
        <v>65</v>
      </c>
      <c r="B31" s="65"/>
      <c r="C31" s="106">
        <v>134798</v>
      </c>
      <c r="D31" s="65"/>
      <c r="E31" s="106">
        <v>134798</v>
      </c>
      <c r="F31" s="106"/>
      <c r="G31" s="106">
        <v>134798</v>
      </c>
    </row>
    <row r="32" spans="1:9" ht="15">
      <c r="A32" s="260" t="s">
        <v>66</v>
      </c>
      <c r="B32" s="65"/>
      <c r="C32" s="106">
        <v>-33337</v>
      </c>
      <c r="D32" s="65"/>
      <c r="E32" s="106">
        <v>-33834</v>
      </c>
      <c r="F32" s="106"/>
      <c r="G32" s="106">
        <v>-19136</v>
      </c>
      <c r="I32" s="88"/>
    </row>
    <row r="33" spans="1:7" ht="15">
      <c r="A33" s="260" t="s">
        <v>67</v>
      </c>
      <c r="B33" s="65"/>
      <c r="C33" s="106">
        <v>357310</v>
      </c>
      <c r="D33" s="65"/>
      <c r="E33" s="106">
        <f>332447-1764</f>
        <v>330683</v>
      </c>
      <c r="F33" s="106"/>
      <c r="G33" s="106">
        <f>306276-1873</f>
        <v>304403</v>
      </c>
    </row>
    <row r="34" spans="1:8" ht="15">
      <c r="A34" s="260" t="s">
        <v>130</v>
      </c>
      <c r="B34" s="65"/>
      <c r="C34" s="106">
        <f>30372+145-69</f>
        <v>30448</v>
      </c>
      <c r="D34" s="65"/>
      <c r="E34" s="106">
        <f>45831</f>
        <v>45831</v>
      </c>
      <c r="F34" s="202"/>
      <c r="G34" s="106">
        <f>43485+1873</f>
        <v>45358</v>
      </c>
      <c r="H34" s="88"/>
    </row>
    <row r="35" spans="1:7" ht="14.25">
      <c r="A35" s="28"/>
      <c r="B35" s="33">
        <v>28</v>
      </c>
      <c r="C35" s="212">
        <f>SUM(C31:C34)</f>
        <v>489219</v>
      </c>
      <c r="D35" s="35"/>
      <c r="E35" s="58">
        <f>SUM(E31:E34)</f>
        <v>477478</v>
      </c>
      <c r="F35" s="59"/>
      <c r="G35" s="58">
        <f>SUM(G31:G34)</f>
        <v>465423</v>
      </c>
    </row>
    <row r="36" spans="1:7" ht="15">
      <c r="A36" s="264" t="s">
        <v>168</v>
      </c>
      <c r="B36" s="30"/>
      <c r="C36" s="213"/>
      <c r="D36" s="30"/>
      <c r="E36" s="54"/>
      <c r="F36" s="54"/>
      <c r="G36" s="54"/>
    </row>
    <row r="37" spans="1:7" ht="15">
      <c r="A37" s="259" t="s">
        <v>169</v>
      </c>
      <c r="B37" s="65"/>
      <c r="C37" s="213"/>
      <c r="D37" s="65"/>
      <c r="E37" s="54"/>
      <c r="F37" s="54"/>
      <c r="G37" s="54"/>
    </row>
    <row r="38" spans="1:8" ht="15">
      <c r="A38" s="260" t="s">
        <v>170</v>
      </c>
      <c r="B38" s="65">
        <v>29</v>
      </c>
      <c r="C38" s="214">
        <v>9556</v>
      </c>
      <c r="D38" s="65"/>
      <c r="E38" s="106">
        <v>16691</v>
      </c>
      <c r="F38" s="106"/>
      <c r="G38" s="106">
        <v>24064</v>
      </c>
      <c r="H38" s="211"/>
    </row>
    <row r="39" spans="1:7" ht="15">
      <c r="A39" s="261" t="s">
        <v>171</v>
      </c>
      <c r="B39" s="65">
        <v>30</v>
      </c>
      <c r="C39" s="214">
        <v>6235</v>
      </c>
      <c r="D39" s="65"/>
      <c r="E39" s="106">
        <f>7153</f>
        <v>7153</v>
      </c>
      <c r="F39" s="202"/>
      <c r="G39" s="106">
        <f>7239</f>
        <v>7239</v>
      </c>
    </row>
    <row r="40" spans="1:7" ht="15">
      <c r="A40" s="265" t="s">
        <v>68</v>
      </c>
      <c r="B40" s="65">
        <v>31</v>
      </c>
      <c r="C40" s="214">
        <v>5397</v>
      </c>
      <c r="D40" s="65"/>
      <c r="E40" s="106">
        <v>5930</v>
      </c>
      <c r="F40" s="106"/>
      <c r="G40" s="106">
        <v>6516</v>
      </c>
    </row>
    <row r="41" spans="1:9" ht="15">
      <c r="A41" s="260" t="s">
        <v>172</v>
      </c>
      <c r="B41" s="65">
        <v>32</v>
      </c>
      <c r="C41" s="214">
        <v>4418</v>
      </c>
      <c r="D41" s="65"/>
      <c r="E41" s="106">
        <v>4139</v>
      </c>
      <c r="F41" s="106"/>
      <c r="G41" s="106">
        <v>3349</v>
      </c>
      <c r="I41" s="88"/>
    </row>
    <row r="42" spans="1:7" ht="15">
      <c r="A42" s="13"/>
      <c r="B42" s="30"/>
      <c r="C42" s="212">
        <f>SUM(C38:C41)</f>
        <v>25606</v>
      </c>
      <c r="D42" s="30"/>
      <c r="E42" s="58">
        <f>SUM(E38:E41)</f>
        <v>33913</v>
      </c>
      <c r="F42" s="59"/>
      <c r="G42" s="58">
        <f>SUM(G38:G41)</f>
        <v>41168</v>
      </c>
    </row>
    <row r="43" ht="8.25" customHeight="1">
      <c r="C43" s="215"/>
    </row>
    <row r="44" spans="1:7" ht="15">
      <c r="A44" s="259" t="s">
        <v>173</v>
      </c>
      <c r="B44" s="77"/>
      <c r="C44" s="216"/>
      <c r="D44" s="77"/>
      <c r="E44" s="78"/>
      <c r="F44" s="78"/>
      <c r="G44" s="78"/>
    </row>
    <row r="45" spans="1:7" ht="15">
      <c r="A45" s="266" t="s">
        <v>69</v>
      </c>
      <c r="B45" s="35">
        <v>33</v>
      </c>
      <c r="C45" s="214">
        <f>65662-10</f>
        <v>65652</v>
      </c>
      <c r="D45" s="35"/>
      <c r="E45" s="106">
        <v>53088</v>
      </c>
      <c r="F45" s="106"/>
      <c r="G45" s="106">
        <v>48291</v>
      </c>
    </row>
    <row r="46" spans="1:7" ht="30">
      <c r="A46" s="266" t="s">
        <v>174</v>
      </c>
      <c r="B46" s="35">
        <v>29</v>
      </c>
      <c r="C46" s="214">
        <v>7168</v>
      </c>
      <c r="D46" s="35"/>
      <c r="E46" s="106">
        <v>7392</v>
      </c>
      <c r="F46" s="106"/>
      <c r="G46" s="106">
        <v>7461</v>
      </c>
    </row>
    <row r="47" spans="1:7" ht="15">
      <c r="A47" s="266" t="s">
        <v>175</v>
      </c>
      <c r="B47" s="35">
        <v>34</v>
      </c>
      <c r="C47" s="217">
        <v>8922</v>
      </c>
      <c r="D47" s="35"/>
      <c r="E47" s="106">
        <f>7713</f>
        <v>7713</v>
      </c>
      <c r="F47" s="106"/>
      <c r="G47" s="106">
        <v>6275</v>
      </c>
    </row>
    <row r="48" spans="1:7" ht="15">
      <c r="A48" s="266" t="s">
        <v>70</v>
      </c>
      <c r="B48" s="35">
        <v>35</v>
      </c>
      <c r="C48" s="214">
        <v>633</v>
      </c>
      <c r="D48" s="35"/>
      <c r="E48" s="106">
        <v>818</v>
      </c>
      <c r="F48" s="106"/>
      <c r="G48" s="106">
        <v>299</v>
      </c>
    </row>
    <row r="49" spans="1:7" ht="15">
      <c r="A49" s="266" t="s">
        <v>176</v>
      </c>
      <c r="B49" s="35">
        <v>36</v>
      </c>
      <c r="C49" s="214">
        <v>1884</v>
      </c>
      <c r="D49" s="35"/>
      <c r="E49" s="106">
        <v>1525</v>
      </c>
      <c r="F49" s="106"/>
      <c r="G49" s="106">
        <v>1070</v>
      </c>
    </row>
    <row r="50" spans="1:7" ht="27" customHeight="1">
      <c r="A50" s="266" t="s">
        <v>177</v>
      </c>
      <c r="B50" s="35">
        <v>37</v>
      </c>
      <c r="C50" s="214">
        <v>7119</v>
      </c>
      <c r="D50" s="35"/>
      <c r="E50" s="106">
        <v>7828</v>
      </c>
      <c r="F50" s="106"/>
      <c r="G50" s="106">
        <v>6377</v>
      </c>
    </row>
    <row r="51" spans="1:7" ht="15">
      <c r="A51" s="266" t="s">
        <v>178</v>
      </c>
      <c r="B51" s="35">
        <v>38</v>
      </c>
      <c r="C51" s="53">
        <f>2023</f>
        <v>2023</v>
      </c>
      <c r="D51" s="35"/>
      <c r="E51" s="106">
        <f>1396</f>
        <v>1396</v>
      </c>
      <c r="F51" s="202"/>
      <c r="G51" s="106">
        <v>2027</v>
      </c>
    </row>
    <row r="52" spans="1:7" ht="14.25">
      <c r="A52" s="28"/>
      <c r="B52" s="30"/>
      <c r="C52" s="58">
        <f>SUM(C45:C51)</f>
        <v>93401</v>
      </c>
      <c r="D52" s="30"/>
      <c r="E52" s="58">
        <f>SUM(E45:E51)</f>
        <v>79760</v>
      </c>
      <c r="F52" s="59"/>
      <c r="G52" s="58">
        <f>SUM(G45:G51)</f>
        <v>71800</v>
      </c>
    </row>
    <row r="53" spans="1:7" ht="6.75" customHeight="1">
      <c r="A53" s="28"/>
      <c r="B53" s="30"/>
      <c r="C53" s="59"/>
      <c r="D53" s="30"/>
      <c r="E53" s="59"/>
      <c r="F53" s="59"/>
      <c r="G53" s="59"/>
    </row>
    <row r="54" spans="1:7" ht="14.25">
      <c r="A54" s="264" t="s">
        <v>179</v>
      </c>
      <c r="B54" s="30"/>
      <c r="C54" s="60">
        <f>C42+C52</f>
        <v>119007</v>
      </c>
      <c r="D54" s="30"/>
      <c r="E54" s="60">
        <f>E42+E52</f>
        <v>113673</v>
      </c>
      <c r="F54" s="59"/>
      <c r="G54" s="60">
        <f>G42+G52</f>
        <v>112968</v>
      </c>
    </row>
    <row r="55" spans="1:7" ht="5.25" customHeight="1">
      <c r="A55" s="79"/>
      <c r="B55" s="30"/>
      <c r="C55" s="59"/>
      <c r="D55" s="30"/>
      <c r="E55" s="59"/>
      <c r="F55" s="59"/>
      <c r="G55" s="59"/>
    </row>
    <row r="56" spans="1:7" ht="15" thickBot="1">
      <c r="A56" s="259" t="s">
        <v>180</v>
      </c>
      <c r="B56" s="30"/>
      <c r="C56" s="61">
        <f>C35+C54</f>
        <v>608226</v>
      </c>
      <c r="D56" s="30"/>
      <c r="E56" s="61">
        <f>E35+E54</f>
        <v>591151</v>
      </c>
      <c r="F56" s="59"/>
      <c r="G56" s="61">
        <f>G35+G54</f>
        <v>578391</v>
      </c>
    </row>
    <row r="57" spans="1:6" ht="7.5" customHeight="1" thickTop="1">
      <c r="A57" s="16"/>
      <c r="B57" s="35"/>
      <c r="C57" s="108"/>
      <c r="D57" s="35"/>
      <c r="E57" s="108"/>
      <c r="F57" s="108"/>
    </row>
    <row r="58" spans="1:7" ht="15" customHeight="1">
      <c r="A58" s="267"/>
      <c r="B58" s="84"/>
      <c r="C58" s="132"/>
      <c r="D58" s="132"/>
      <c r="E58" s="132"/>
      <c r="F58" s="132"/>
      <c r="G58" s="132"/>
    </row>
    <row r="59" spans="1:7" ht="6.75" customHeight="1">
      <c r="A59" s="83"/>
      <c r="B59" s="84"/>
      <c r="C59" s="132"/>
      <c r="D59" s="132"/>
      <c r="E59" s="132"/>
      <c r="F59" s="132"/>
      <c r="G59" s="132"/>
    </row>
    <row r="60" spans="1:6" ht="36" customHeight="1">
      <c r="A60" s="335" t="s">
        <v>108</v>
      </c>
      <c r="B60" s="335"/>
      <c r="C60" s="335"/>
      <c r="D60" s="335"/>
      <c r="E60" s="335"/>
      <c r="F60" s="85"/>
    </row>
    <row r="61" spans="1:6" s="12" customFormat="1" ht="15">
      <c r="A61" s="255" t="s">
        <v>32</v>
      </c>
      <c r="B61" s="32"/>
      <c r="C61" s="129"/>
      <c r="D61" s="32"/>
      <c r="E61" s="129"/>
      <c r="F61" s="128"/>
    </row>
    <row r="62" spans="1:6" s="12" customFormat="1" ht="13.5" customHeight="1">
      <c r="A62" s="256" t="s">
        <v>99</v>
      </c>
      <c r="B62" s="32"/>
      <c r="C62" s="32"/>
      <c r="D62" s="32"/>
      <c r="E62" s="128"/>
      <c r="F62" s="128"/>
    </row>
    <row r="63" spans="1:6" s="12" customFormat="1" ht="6" customHeight="1">
      <c r="A63" s="62"/>
      <c r="B63" s="32"/>
      <c r="C63" s="32"/>
      <c r="D63" s="32"/>
      <c r="E63" s="32"/>
      <c r="F63" s="32"/>
    </row>
    <row r="64" spans="1:6" s="12" customFormat="1" ht="13.5" customHeight="1">
      <c r="A64" s="255" t="s">
        <v>33</v>
      </c>
      <c r="B64" s="32"/>
      <c r="C64" s="32"/>
      <c r="D64" s="32"/>
      <c r="E64" s="32"/>
      <c r="F64" s="32"/>
    </row>
    <row r="65" spans="1:6" s="12" customFormat="1" ht="12.75" customHeight="1">
      <c r="A65" s="133" t="s">
        <v>13</v>
      </c>
      <c r="B65" s="32"/>
      <c r="C65" s="32"/>
      <c r="D65" s="32"/>
      <c r="E65" s="128"/>
      <c r="F65" s="128"/>
    </row>
    <row r="66" spans="1:6" s="12" customFormat="1" ht="4.5" customHeight="1">
      <c r="A66" s="62"/>
      <c r="B66" s="32"/>
      <c r="C66" s="32"/>
      <c r="D66" s="32"/>
      <c r="E66" s="32"/>
      <c r="F66" s="32"/>
    </row>
    <row r="67" spans="1:6" s="12" customFormat="1" ht="12" customHeight="1">
      <c r="A67" s="257" t="s">
        <v>52</v>
      </c>
      <c r="B67" s="32"/>
      <c r="C67" s="32"/>
      <c r="D67" s="32"/>
      <c r="E67" s="32"/>
      <c r="F67" s="32"/>
    </row>
    <row r="68" spans="1:6" s="12" customFormat="1" ht="12.75" customHeight="1">
      <c r="A68" s="268" t="s">
        <v>8</v>
      </c>
      <c r="B68" s="32"/>
      <c r="C68" s="32"/>
      <c r="D68" s="32"/>
      <c r="E68" s="32"/>
      <c r="F68" s="32"/>
    </row>
    <row r="69" spans="1:2" ht="14.25" customHeight="1">
      <c r="A69" s="333" t="str">
        <f>'IS'!A54</f>
        <v>* Объединенные показатели (Приложение № 40)</v>
      </c>
      <c r="B69" s="32"/>
    </row>
    <row r="70" spans="1:2" ht="12.75">
      <c r="A70" s="210" t="str">
        <f>'IS'!A55</f>
        <v>** Модифицированное ретроспективное применение МСФО 9 и МСФО 15 (Приложение № 44)</v>
      </c>
      <c r="B70" s="32"/>
    </row>
  </sheetData>
  <sheetProtection/>
  <mergeCells count="5">
    <mergeCell ref="G4:G5"/>
    <mergeCell ref="E4:E5"/>
    <mergeCell ref="B4:B5"/>
    <mergeCell ref="C4:C5"/>
    <mergeCell ref="A60:E60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BreakPreview" zoomScale="110" zoomScaleSheetLayoutView="110" zoomScalePageLayoutView="0" workbookViewId="0" topLeftCell="A34">
      <selection activeCell="A66" sqref="A66"/>
    </sheetView>
  </sheetViews>
  <sheetFormatPr defaultColWidth="2.421875" defaultRowHeight="12.75"/>
  <cols>
    <col min="1" max="1" width="70.00390625" style="10" customWidth="1"/>
    <col min="2" max="2" width="7.7109375" style="6" customWidth="1"/>
    <col min="3" max="3" width="14.421875" style="6" customWidth="1"/>
    <col min="4" max="4" width="1.7109375" style="6" customWidth="1"/>
    <col min="5" max="5" width="14.28125" style="4" customWidth="1"/>
    <col min="6" max="26" width="11.421875" style="3" customWidth="1"/>
    <col min="27" max="16384" width="2.421875" style="3" customWidth="1"/>
  </cols>
  <sheetData>
    <row r="1" spans="1:5" s="1" customFormat="1" ht="15">
      <c r="A1" s="322" t="s">
        <v>181</v>
      </c>
      <c r="B1" s="323"/>
      <c r="C1" s="323"/>
      <c r="D1" s="323"/>
      <c r="E1" s="323"/>
    </row>
    <row r="2" spans="1:5" s="2" customFormat="1" ht="15">
      <c r="A2" s="324" t="s">
        <v>109</v>
      </c>
      <c r="B2" s="325"/>
      <c r="C2" s="325"/>
      <c r="D2" s="325"/>
      <c r="E2" s="325"/>
    </row>
    <row r="3" spans="1:5" s="2" customFormat="1" ht="15">
      <c r="A3" s="71" t="str">
        <f>'IS'!A3</f>
        <v>за год, заканчивающийся 31 декабря 2018 года</v>
      </c>
      <c r="B3" s="38"/>
      <c r="C3" s="38"/>
      <c r="D3" s="38"/>
      <c r="E3" s="38"/>
    </row>
    <row r="4" spans="1:5" ht="17.25" customHeight="1">
      <c r="A4" s="326" t="s">
        <v>1</v>
      </c>
      <c r="B4" s="326"/>
      <c r="C4" s="47">
        <v>2018</v>
      </c>
      <c r="D4" s="50"/>
      <c r="E4" s="47">
        <v>2017</v>
      </c>
    </row>
    <row r="5" spans="1:5" ht="14.25" customHeight="1">
      <c r="A5" s="39"/>
      <c r="B5" s="11"/>
      <c r="C5" s="36" t="s">
        <v>2</v>
      </c>
      <c r="D5" s="11"/>
      <c r="E5" s="36" t="s">
        <v>2</v>
      </c>
    </row>
    <row r="6" spans="1:5" ht="34.5" customHeight="1">
      <c r="A6" s="39"/>
      <c r="B6" s="11"/>
      <c r="C6" s="142"/>
      <c r="D6" s="11"/>
      <c r="E6" s="142" t="s">
        <v>100</v>
      </c>
    </row>
    <row r="7" spans="1:5" ht="15">
      <c r="A7" s="270" t="s">
        <v>71</v>
      </c>
      <c r="B7" s="40"/>
      <c r="C7" s="41"/>
      <c r="D7" s="40"/>
      <c r="E7" s="41"/>
    </row>
    <row r="8" spans="1:5" ht="15">
      <c r="A8" s="271" t="s">
        <v>72</v>
      </c>
      <c r="B8" s="40"/>
      <c r="C8" s="63">
        <v>220302</v>
      </c>
      <c r="D8" s="40"/>
      <c r="E8" s="63">
        <v>231653</v>
      </c>
    </row>
    <row r="9" spans="1:5" ht="15">
      <c r="A9" s="271" t="s">
        <v>182</v>
      </c>
      <c r="B9" s="40"/>
      <c r="C9" s="63">
        <v>-128291</v>
      </c>
      <c r="D9" s="40"/>
      <c r="E9" s="63">
        <v>-126572</v>
      </c>
    </row>
    <row r="10" spans="1:5" ht="15">
      <c r="A10" s="271" t="s">
        <v>183</v>
      </c>
      <c r="B10" s="40"/>
      <c r="C10" s="63">
        <v>-47343</v>
      </c>
      <c r="D10" s="40"/>
      <c r="E10" s="63">
        <v>-45733</v>
      </c>
    </row>
    <row r="11" spans="1:5" s="5" customFormat="1" ht="15">
      <c r="A11" s="271" t="s">
        <v>112</v>
      </c>
      <c r="B11" s="43"/>
      <c r="C11" s="63">
        <v>-8184</v>
      </c>
      <c r="D11" s="43"/>
      <c r="E11" s="63">
        <v>-8585</v>
      </c>
    </row>
    <row r="12" spans="1:5" s="5" customFormat="1" ht="15">
      <c r="A12" s="271" t="s">
        <v>113</v>
      </c>
      <c r="B12" s="43"/>
      <c r="C12" s="63">
        <v>1998</v>
      </c>
      <c r="D12" s="43"/>
      <c r="E12" s="63">
        <v>2000</v>
      </c>
    </row>
    <row r="13" spans="1:5" s="5" customFormat="1" ht="15">
      <c r="A13" s="271" t="s">
        <v>114</v>
      </c>
      <c r="B13" s="43"/>
      <c r="C13" s="63">
        <v>-4062</v>
      </c>
      <c r="D13" s="43"/>
      <c r="E13" s="63">
        <v>-3332</v>
      </c>
    </row>
    <row r="14" spans="1:5" s="5" customFormat="1" ht="15">
      <c r="A14" s="271" t="s">
        <v>115</v>
      </c>
      <c r="B14" s="43"/>
      <c r="C14" s="63">
        <v>-1090</v>
      </c>
      <c r="D14" s="43"/>
      <c r="E14" s="63">
        <v>-999</v>
      </c>
    </row>
    <row r="15" spans="1:5" s="5" customFormat="1" ht="25.5">
      <c r="A15" s="271" t="s">
        <v>116</v>
      </c>
      <c r="B15" s="43"/>
      <c r="C15" s="63">
        <v>-165</v>
      </c>
      <c r="D15" s="43"/>
      <c r="E15" s="63">
        <v>-309</v>
      </c>
    </row>
    <row r="16" spans="1:5" ht="15">
      <c r="A16" s="272" t="s">
        <v>73</v>
      </c>
      <c r="B16" s="43"/>
      <c r="C16" s="63">
        <v>-848</v>
      </c>
      <c r="D16" s="43"/>
      <c r="E16" s="63">
        <v>-1186</v>
      </c>
    </row>
    <row r="17" spans="1:5" s="5" customFormat="1" ht="25.5">
      <c r="A17" s="270" t="s">
        <v>184</v>
      </c>
      <c r="B17" s="43"/>
      <c r="C17" s="64">
        <f>SUM(C8:C16)</f>
        <v>32317</v>
      </c>
      <c r="D17" s="43"/>
      <c r="E17" s="64">
        <f>SUM(E8:E16)</f>
        <v>46937</v>
      </c>
    </row>
    <row r="18" spans="1:5" s="5" customFormat="1" ht="6" customHeight="1">
      <c r="A18" s="37"/>
      <c r="B18" s="43"/>
      <c r="C18" s="51"/>
      <c r="D18" s="43"/>
      <c r="E18" s="51"/>
    </row>
    <row r="19" spans="1:5" s="5" customFormat="1" ht="14.25">
      <c r="A19" s="273" t="s">
        <v>185</v>
      </c>
      <c r="B19" s="43"/>
      <c r="C19" s="51"/>
      <c r="D19" s="43"/>
      <c r="E19" s="51"/>
    </row>
    <row r="20" spans="1:5" ht="15">
      <c r="A20" s="271" t="s">
        <v>125</v>
      </c>
      <c r="B20" s="43"/>
      <c r="C20" s="63">
        <v>-10607</v>
      </c>
      <c r="D20" s="63"/>
      <c r="E20" s="63">
        <v>-13823</v>
      </c>
    </row>
    <row r="21" spans="1:5" ht="15">
      <c r="A21" s="274" t="s">
        <v>124</v>
      </c>
      <c r="B21" s="43"/>
      <c r="C21" s="63">
        <v>272</v>
      </c>
      <c r="D21" s="63"/>
      <c r="E21" s="63">
        <v>417</v>
      </c>
    </row>
    <row r="22" spans="1:5" ht="15">
      <c r="A22" s="271" t="s">
        <v>74</v>
      </c>
      <c r="B22" s="43"/>
      <c r="C22" s="63">
        <v>-282</v>
      </c>
      <c r="D22" s="63"/>
      <c r="E22" s="63">
        <v>-29</v>
      </c>
    </row>
    <row r="23" spans="1:5" ht="15">
      <c r="A23" s="274" t="s">
        <v>75</v>
      </c>
      <c r="B23" s="43"/>
      <c r="C23" s="63">
        <v>-227</v>
      </c>
      <c r="D23" s="63"/>
      <c r="E23" s="63">
        <v>-4052</v>
      </c>
    </row>
    <row r="24" spans="1:5" ht="15">
      <c r="A24" s="42" t="s">
        <v>147</v>
      </c>
      <c r="B24" s="43"/>
      <c r="C24" s="63">
        <v>7</v>
      </c>
      <c r="D24" s="63"/>
      <c r="E24" s="63">
        <v>3080</v>
      </c>
    </row>
    <row r="25" spans="1:5" ht="15">
      <c r="A25" s="336" t="s">
        <v>117</v>
      </c>
      <c r="B25" s="43"/>
      <c r="C25" s="63">
        <v>-1744</v>
      </c>
      <c r="D25" s="153"/>
      <c r="E25" s="63">
        <v>-1645</v>
      </c>
    </row>
    <row r="26" spans="1:5" ht="15">
      <c r="A26" s="336" t="s">
        <v>118</v>
      </c>
      <c r="B26" s="43"/>
      <c r="C26" s="63">
        <v>907</v>
      </c>
      <c r="D26" s="153"/>
      <c r="E26" s="63">
        <v>731</v>
      </c>
    </row>
    <row r="27" spans="1:5" s="227" customFormat="1" ht="15">
      <c r="A27" s="337" t="s">
        <v>186</v>
      </c>
      <c r="B27" s="225"/>
      <c r="C27" s="226">
        <v>-257</v>
      </c>
      <c r="D27" s="226"/>
      <c r="E27" s="226">
        <v>-10390</v>
      </c>
    </row>
    <row r="28" spans="1:5" ht="15">
      <c r="A28" s="336" t="s">
        <v>119</v>
      </c>
      <c r="B28" s="43"/>
      <c r="C28" s="63">
        <v>0</v>
      </c>
      <c r="D28" s="63"/>
      <c r="E28" s="63">
        <v>1</v>
      </c>
    </row>
    <row r="29" spans="1:5" ht="15">
      <c r="A29" s="336" t="s">
        <v>148</v>
      </c>
      <c r="B29" s="43"/>
      <c r="C29" s="63">
        <v>0</v>
      </c>
      <c r="D29" s="63"/>
      <c r="E29" s="63">
        <v>12</v>
      </c>
    </row>
    <row r="30" spans="1:5" ht="15">
      <c r="A30" s="271" t="s">
        <v>144</v>
      </c>
      <c r="B30" s="43"/>
      <c r="C30" s="63">
        <v>8693</v>
      </c>
      <c r="D30" s="63"/>
      <c r="E30" s="63">
        <v>7168</v>
      </c>
    </row>
    <row r="31" spans="1:5" ht="15">
      <c r="A31" s="271" t="s">
        <v>145</v>
      </c>
      <c r="B31" s="43"/>
      <c r="C31" s="63">
        <v>96</v>
      </c>
      <c r="D31" s="153"/>
      <c r="E31" s="63">
        <v>146</v>
      </c>
    </row>
    <row r="32" spans="1:5" ht="15">
      <c r="A32" s="274" t="s">
        <v>77</v>
      </c>
      <c r="B32" s="43"/>
      <c r="C32" s="63">
        <v>-31268</v>
      </c>
      <c r="D32" s="63"/>
      <c r="E32" s="63">
        <v>-108465</v>
      </c>
    </row>
    <row r="33" spans="1:5" ht="15">
      <c r="A33" s="271" t="s">
        <v>78</v>
      </c>
      <c r="B33" s="43"/>
      <c r="C33" s="63">
        <v>22676</v>
      </c>
      <c r="D33" s="63"/>
      <c r="E33" s="63">
        <v>104655</v>
      </c>
    </row>
    <row r="34" spans="1:5" ht="15">
      <c r="A34" s="271" t="s">
        <v>187</v>
      </c>
      <c r="B34" s="43"/>
      <c r="C34" s="63">
        <v>-7442</v>
      </c>
      <c r="D34" s="63"/>
      <c r="E34" s="63">
        <v>-2568</v>
      </c>
    </row>
    <row r="35" spans="1:5" ht="15">
      <c r="A35" s="271" t="s">
        <v>126</v>
      </c>
      <c r="B35" s="43"/>
      <c r="C35" s="63">
        <v>5134</v>
      </c>
      <c r="D35" s="63"/>
      <c r="E35" s="63">
        <v>0</v>
      </c>
    </row>
    <row r="36" spans="1:5" ht="15">
      <c r="A36" s="271" t="s">
        <v>79</v>
      </c>
      <c r="B36" s="43"/>
      <c r="C36" s="63">
        <v>1064</v>
      </c>
      <c r="D36" s="63"/>
      <c r="E36" s="63">
        <v>3340</v>
      </c>
    </row>
    <row r="37" spans="1:5" ht="15">
      <c r="A37" s="271" t="s">
        <v>73</v>
      </c>
      <c r="B37" s="43"/>
      <c r="C37" s="63">
        <v>-54</v>
      </c>
      <c r="D37" s="63"/>
      <c r="E37" s="63">
        <v>-65</v>
      </c>
    </row>
    <row r="38" spans="1:5" ht="27" customHeight="1">
      <c r="A38" s="270" t="s">
        <v>188</v>
      </c>
      <c r="B38" s="43"/>
      <c r="C38" s="64">
        <f>SUM(C20:C37)</f>
        <v>-13032</v>
      </c>
      <c r="D38" s="43"/>
      <c r="E38" s="64">
        <f>SUM(E20:E37)</f>
        <v>-21487</v>
      </c>
    </row>
    <row r="39" spans="1:5" ht="6.75" customHeight="1">
      <c r="A39" s="42"/>
      <c r="B39" s="43"/>
      <c r="C39" s="51"/>
      <c r="D39" s="43"/>
      <c r="E39" s="51"/>
    </row>
    <row r="40" spans="1:5" ht="13.5" customHeight="1">
      <c r="A40" s="273" t="s">
        <v>80</v>
      </c>
      <c r="B40" s="43"/>
      <c r="C40" s="52"/>
      <c r="D40" s="43"/>
      <c r="E40" s="52"/>
    </row>
    <row r="41" spans="1:5" ht="15">
      <c r="A41" s="336" t="s">
        <v>120</v>
      </c>
      <c r="B41" s="43"/>
      <c r="C41" s="4">
        <v>33</v>
      </c>
      <c r="E41" s="4">
        <v>0</v>
      </c>
    </row>
    <row r="42" spans="1:5" ht="15">
      <c r="A42" s="276" t="s">
        <v>189</v>
      </c>
      <c r="B42" s="225"/>
      <c r="C42" s="226">
        <v>-7413</v>
      </c>
      <c r="D42" s="226"/>
      <c r="E42" s="226">
        <v>-7463</v>
      </c>
    </row>
    <row r="43" spans="1:5" ht="15">
      <c r="A43" s="276" t="s">
        <v>190</v>
      </c>
      <c r="B43" s="225"/>
      <c r="C43" s="226">
        <v>12588</v>
      </c>
      <c r="D43" s="226"/>
      <c r="E43" s="226">
        <v>4823</v>
      </c>
    </row>
    <row r="44" spans="1:5" ht="15">
      <c r="A44" s="228" t="s">
        <v>121</v>
      </c>
      <c r="B44" s="225"/>
      <c r="C44" s="226">
        <f>-365</f>
        <v>-365</v>
      </c>
      <c r="D44" s="226"/>
      <c r="E44" s="226">
        <v>-555</v>
      </c>
    </row>
    <row r="45" spans="1:5" ht="15">
      <c r="A45" s="277" t="s">
        <v>122</v>
      </c>
      <c r="B45" s="225"/>
      <c r="C45" s="226">
        <v>11</v>
      </c>
      <c r="D45" s="226"/>
      <c r="E45" s="226">
        <v>2526</v>
      </c>
    </row>
    <row r="46" spans="1:5" ht="15">
      <c r="A46" s="276" t="s">
        <v>66</v>
      </c>
      <c r="B46" s="225"/>
      <c r="C46" s="226">
        <v>-861</v>
      </c>
      <c r="D46" s="226"/>
      <c r="E46" s="226">
        <v>-17026</v>
      </c>
    </row>
    <row r="47" spans="1:5" ht="15">
      <c r="A47" s="278" t="s">
        <v>81</v>
      </c>
      <c r="B47" s="225"/>
      <c r="C47" s="226">
        <v>-20000</v>
      </c>
      <c r="D47" s="226"/>
      <c r="E47" s="226">
        <v>-12872</v>
      </c>
    </row>
    <row r="48" spans="1:5" ht="15">
      <c r="A48" s="271" t="s">
        <v>76</v>
      </c>
      <c r="B48" s="225"/>
      <c r="C48" s="226">
        <v>-71</v>
      </c>
      <c r="D48" s="226"/>
      <c r="E48" s="226">
        <v>-275</v>
      </c>
    </row>
    <row r="49" spans="1:5" s="5" customFormat="1" ht="14.25">
      <c r="A49" s="275" t="s">
        <v>127</v>
      </c>
      <c r="B49" s="225"/>
      <c r="C49" s="229">
        <f>SUM(C41:C48)</f>
        <v>-16078</v>
      </c>
      <c r="D49" s="225"/>
      <c r="E49" s="229">
        <f>SUM(E41:E48)</f>
        <v>-30842</v>
      </c>
    </row>
    <row r="50" spans="1:5" ht="6.75" customHeight="1">
      <c r="A50" s="228"/>
      <c r="B50" s="225"/>
      <c r="C50" s="226"/>
      <c r="D50" s="225"/>
      <c r="E50" s="226"/>
    </row>
    <row r="51" spans="1:5" s="17" customFormat="1" ht="16.5" customHeight="1">
      <c r="A51" s="279" t="s">
        <v>82</v>
      </c>
      <c r="B51" s="225"/>
      <c r="C51" s="230">
        <f>C49+C38+C17</f>
        <v>3207</v>
      </c>
      <c r="D51" s="225"/>
      <c r="E51" s="230">
        <f>E49+E38+E17</f>
        <v>-5392</v>
      </c>
    </row>
    <row r="52" spans="1:5" s="17" customFormat="1" ht="5.25" customHeight="1">
      <c r="A52" s="231"/>
      <c r="B52" s="225"/>
      <c r="C52" s="232"/>
      <c r="D52" s="225"/>
      <c r="E52" s="232"/>
    </row>
    <row r="53" spans="1:5" s="18" customFormat="1" ht="15">
      <c r="A53" s="278" t="s">
        <v>191</v>
      </c>
      <c r="B53" s="225"/>
      <c r="C53" s="226">
        <v>5764</v>
      </c>
      <c r="D53" s="225"/>
      <c r="E53" s="226">
        <v>11156</v>
      </c>
    </row>
    <row r="54" spans="1:5" s="18" customFormat="1" ht="6" customHeight="1">
      <c r="A54" s="231"/>
      <c r="B54" s="225"/>
      <c r="C54" s="233"/>
      <c r="D54" s="225"/>
      <c r="E54" s="233"/>
    </row>
    <row r="55" spans="1:5" ht="15.75" thickBot="1">
      <c r="A55" s="234" t="s">
        <v>123</v>
      </c>
      <c r="B55" s="235">
        <v>27</v>
      </c>
      <c r="C55" s="236">
        <f>C53+C51</f>
        <v>8971</v>
      </c>
      <c r="D55" s="225"/>
      <c r="E55" s="236">
        <f>E53+E51</f>
        <v>5764</v>
      </c>
    </row>
    <row r="56" spans="2:5" ht="12" customHeight="1" thickTop="1">
      <c r="B56" s="40"/>
      <c r="C56" s="126"/>
      <c r="D56" s="40"/>
      <c r="E56" s="126"/>
    </row>
    <row r="57" spans="1:4" ht="15">
      <c r="A57" s="280" t="s">
        <v>96</v>
      </c>
      <c r="B57" s="281"/>
      <c r="C57" s="282"/>
      <c r="D57" s="40"/>
    </row>
    <row r="58" spans="1:4" ht="15">
      <c r="A58" s="66"/>
      <c r="B58" s="40"/>
      <c r="C58" s="107"/>
      <c r="D58" s="40"/>
    </row>
    <row r="59" spans="1:4" ht="15">
      <c r="A59" s="66" t="str">
        <f>SFP!A61</f>
        <v>Исполнительный директор:</v>
      </c>
      <c r="B59" s="40"/>
      <c r="C59" s="107"/>
      <c r="D59" s="40"/>
    </row>
    <row r="60" spans="1:4" ht="15">
      <c r="A60" s="209" t="s">
        <v>99</v>
      </c>
      <c r="B60" s="40"/>
      <c r="C60" s="40"/>
      <c r="D60" s="40"/>
    </row>
    <row r="61" spans="1:4" ht="15">
      <c r="A61" s="283" t="s">
        <v>33</v>
      </c>
      <c r="B61" s="40"/>
      <c r="C61" s="40"/>
      <c r="D61" s="40"/>
    </row>
    <row r="62" spans="1:4" ht="15">
      <c r="A62" s="209" t="s">
        <v>13</v>
      </c>
      <c r="B62" s="40"/>
      <c r="C62" s="40"/>
      <c r="D62" s="40"/>
    </row>
    <row r="63" spans="1:4" ht="15">
      <c r="A63" s="284" t="s">
        <v>52</v>
      </c>
      <c r="B63" s="40"/>
      <c r="C63" s="40"/>
      <c r="D63" s="40"/>
    </row>
    <row r="64" spans="1:4" ht="15">
      <c r="A64" s="209" t="str">
        <f>'[1]IS'!A50</f>
        <v>Йорданка Петкова</v>
      </c>
      <c r="B64" s="40"/>
      <c r="C64" s="40"/>
      <c r="D64" s="40"/>
    </row>
    <row r="65" spans="1:4" ht="9.75" customHeight="1">
      <c r="A65" s="209"/>
      <c r="B65" s="40"/>
      <c r="C65" s="40"/>
      <c r="D65" s="40"/>
    </row>
    <row r="66" spans="1:4" ht="9.75" customHeight="1">
      <c r="A66" s="333" t="s">
        <v>97</v>
      </c>
      <c r="B66" s="32"/>
      <c r="C66" s="40"/>
      <c r="D66" s="40"/>
    </row>
    <row r="67" spans="1:2" ht="15">
      <c r="A67" s="210"/>
      <c r="B67" s="32"/>
    </row>
    <row r="68" ht="15">
      <c r="A68" s="67"/>
    </row>
    <row r="69" ht="15">
      <c r="A69" s="80"/>
    </row>
    <row r="70" ht="15">
      <c r="A70" s="81"/>
    </row>
    <row r="71" ht="15">
      <c r="A71" s="80"/>
    </row>
    <row r="72" ht="15">
      <c r="A72" s="82"/>
    </row>
    <row r="73" ht="15">
      <c r="A73" s="82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2"/>
  <sheetViews>
    <sheetView tabSelected="1" view="pageBreakPreview" zoomScale="130" zoomScaleSheetLayoutView="130" zoomScalePageLayoutView="0" workbookViewId="0" topLeftCell="A1">
      <selection activeCell="A51" sqref="A51:A52"/>
    </sheetView>
  </sheetViews>
  <sheetFormatPr defaultColWidth="11.421875" defaultRowHeight="12.75"/>
  <cols>
    <col min="1" max="1" width="54.421875" style="7" customWidth="1"/>
    <col min="2" max="2" width="7.7109375" style="7" customWidth="1"/>
    <col min="3" max="3" width="12.7109375" style="7" customWidth="1"/>
    <col min="4" max="4" width="0.42578125" style="7" customWidth="1"/>
    <col min="5" max="5" width="12.8515625" style="7" customWidth="1"/>
    <col min="6" max="6" width="0.71875" style="7" customWidth="1"/>
    <col min="7" max="7" width="11.8515625" style="7" customWidth="1"/>
    <col min="8" max="8" width="0.42578125" style="7" customWidth="1"/>
    <col min="9" max="9" width="15.00390625" style="7" customWidth="1"/>
    <col min="10" max="10" width="0.42578125" style="7" customWidth="1"/>
    <col min="11" max="11" width="13.8515625" style="7" customWidth="1"/>
    <col min="12" max="12" width="1.8515625" style="7" customWidth="1"/>
    <col min="13" max="13" width="14.421875" style="7" customWidth="1"/>
    <col min="14" max="14" width="0.2890625" style="7" customWidth="1"/>
    <col min="15" max="15" width="11.421875" style="7" customWidth="1"/>
    <col min="16" max="16" width="2.140625" style="7" customWidth="1"/>
    <col min="17" max="17" width="13.421875" style="7" customWidth="1"/>
    <col min="18" max="18" width="9.421875" style="7" bestFit="1" customWidth="1"/>
    <col min="19" max="16384" width="11.421875" style="7" customWidth="1"/>
  </cols>
  <sheetData>
    <row r="1" spans="1:17" ht="18" customHeight="1">
      <c r="A1" s="269" t="s">
        <v>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8" customHeight="1">
      <c r="A2" s="324" t="s">
        <v>192</v>
      </c>
      <c r="B2" s="324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ht="18" customHeight="1">
      <c r="A3" s="71" t="str">
        <f>CFS!A3</f>
        <v>за год, заканчивающийся 31 декабря 2018 года</v>
      </c>
      <c r="B3" s="1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98" customFormat="1" ht="15" customHeight="1">
      <c r="A4" s="331" t="s">
        <v>1</v>
      </c>
      <c r="B4" s="331"/>
      <c r="C4" s="328" t="s">
        <v>65</v>
      </c>
      <c r="D4" s="300"/>
      <c r="E4" s="328" t="s">
        <v>66</v>
      </c>
      <c r="F4" s="300"/>
      <c r="G4" s="328" t="s">
        <v>86</v>
      </c>
      <c r="H4" s="154"/>
      <c r="I4" s="302"/>
      <c r="J4" s="300"/>
      <c r="K4" s="328" t="s">
        <v>129</v>
      </c>
      <c r="L4" s="303"/>
      <c r="M4" s="328" t="s">
        <v>87</v>
      </c>
      <c r="N4" s="303"/>
      <c r="O4" s="328" t="s">
        <v>130</v>
      </c>
      <c r="P4" s="154"/>
      <c r="Q4" s="328" t="s">
        <v>88</v>
      </c>
    </row>
    <row r="5" spans="1:17" s="99" customFormat="1" ht="71.25" customHeight="1">
      <c r="A5" s="331"/>
      <c r="B5" s="331"/>
      <c r="C5" s="329"/>
      <c r="D5" s="301"/>
      <c r="E5" s="329"/>
      <c r="F5" s="301"/>
      <c r="G5" s="329"/>
      <c r="H5" s="155"/>
      <c r="I5" s="300" t="s">
        <v>128</v>
      </c>
      <c r="J5" s="301"/>
      <c r="K5" s="329"/>
      <c r="L5" s="304"/>
      <c r="M5" s="329"/>
      <c r="N5" s="304"/>
      <c r="O5" s="329"/>
      <c r="P5" s="155"/>
      <c r="Q5" s="329"/>
    </row>
    <row r="6" spans="1:17" s="20" customFormat="1" ht="15">
      <c r="A6" s="156"/>
      <c r="B6" s="157"/>
      <c r="C6" s="158" t="s">
        <v>2</v>
      </c>
      <c r="D6" s="158"/>
      <c r="E6" s="158" t="s">
        <v>2</v>
      </c>
      <c r="F6" s="158"/>
      <c r="G6" s="158" t="s">
        <v>2</v>
      </c>
      <c r="H6" s="158"/>
      <c r="I6" s="158" t="s">
        <v>2</v>
      </c>
      <c r="J6" s="158"/>
      <c r="K6" s="158" t="s">
        <v>2</v>
      </c>
      <c r="L6" s="158"/>
      <c r="M6" s="158" t="s">
        <v>2</v>
      </c>
      <c r="N6" s="158"/>
      <c r="O6" s="218" t="s">
        <v>2</v>
      </c>
      <c r="P6" s="218"/>
      <c r="Q6" s="218" t="s">
        <v>2</v>
      </c>
    </row>
    <row r="7" spans="1:17" s="19" customFormat="1" ht="5.25" customHeight="1">
      <c r="A7" s="159"/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219"/>
      <c r="P7" s="218"/>
      <c r="Q7" s="220"/>
    </row>
    <row r="8" spans="1:19" s="12" customFormat="1" ht="15.75" customHeight="1">
      <c r="A8" s="285" t="s">
        <v>193</v>
      </c>
      <c r="B8" s="161"/>
      <c r="C8" s="162">
        <v>134798</v>
      </c>
      <c r="D8" s="163"/>
      <c r="E8" s="162">
        <v>-18809</v>
      </c>
      <c r="F8" s="163"/>
      <c r="G8" s="162">
        <v>47841</v>
      </c>
      <c r="H8" s="163"/>
      <c r="I8" s="162">
        <v>24171</v>
      </c>
      <c r="J8" s="158"/>
      <c r="K8" s="162">
        <v>2805</v>
      </c>
      <c r="L8" s="163"/>
      <c r="M8" s="162">
        <v>229586</v>
      </c>
      <c r="N8" s="163"/>
      <c r="O8" s="221">
        <v>42483</v>
      </c>
      <c r="P8" s="222"/>
      <c r="Q8" s="221">
        <f>SUM(C8:P8)</f>
        <v>462875</v>
      </c>
      <c r="R8" s="103"/>
      <c r="S8" s="103"/>
    </row>
    <row r="9" spans="1:19" s="12" customFormat="1" ht="13.5" customHeight="1">
      <c r="A9" s="338" t="s">
        <v>143</v>
      </c>
      <c r="B9" s="161">
        <v>40</v>
      </c>
      <c r="C9" s="164">
        <v>0</v>
      </c>
      <c r="D9" s="164"/>
      <c r="E9" s="164">
        <v>-327</v>
      </c>
      <c r="F9" s="164"/>
      <c r="G9" s="164">
        <v>0</v>
      </c>
      <c r="H9" s="164"/>
      <c r="I9" s="164">
        <v>0</v>
      </c>
      <c r="J9" s="165"/>
      <c r="K9" s="164">
        <v>0</v>
      </c>
      <c r="L9" s="164"/>
      <c r="M9" s="164">
        <v>0</v>
      </c>
      <c r="N9" s="164"/>
      <c r="O9" s="223">
        <f>2008-E9+540</f>
        <v>2875</v>
      </c>
      <c r="P9" s="223" t="s">
        <v>28</v>
      </c>
      <c r="Q9" s="223">
        <f>SUM(C9:P9)</f>
        <v>2548</v>
      </c>
      <c r="R9" s="103"/>
      <c r="S9" s="103"/>
    </row>
    <row r="10" spans="1:19" s="12" customFormat="1" ht="13.5" customHeight="1" thickBot="1">
      <c r="A10" s="160" t="s">
        <v>194</v>
      </c>
      <c r="B10" s="161"/>
      <c r="C10" s="166">
        <f>SUM(C8:C9)</f>
        <v>134798</v>
      </c>
      <c r="D10" s="164"/>
      <c r="E10" s="166">
        <f>SUM(E8:E9)</f>
        <v>-19136</v>
      </c>
      <c r="F10" s="164"/>
      <c r="G10" s="166">
        <f>SUM(G8:G9)</f>
        <v>47841</v>
      </c>
      <c r="H10" s="164"/>
      <c r="I10" s="166">
        <f>SUM(I8:I9)</f>
        <v>24171</v>
      </c>
      <c r="J10" s="165"/>
      <c r="K10" s="166">
        <f>SUM(K8:K9)</f>
        <v>2805</v>
      </c>
      <c r="L10" s="164"/>
      <c r="M10" s="166">
        <f>SUM(M8:M9)</f>
        <v>229586</v>
      </c>
      <c r="N10" s="164"/>
      <c r="O10" s="224">
        <f>SUM(O8:O9)</f>
        <v>45358</v>
      </c>
      <c r="P10" s="223"/>
      <c r="Q10" s="224">
        <f>SUM(Q8:Q9)</f>
        <v>465423</v>
      </c>
      <c r="R10" s="103"/>
      <c r="S10" s="103"/>
    </row>
    <row r="11" spans="1:17" s="12" customFormat="1" ht="15.75" thickTop="1">
      <c r="A11" s="330" t="s">
        <v>195</v>
      </c>
      <c r="B11" s="330"/>
      <c r="C11" s="149"/>
      <c r="D11" s="149"/>
      <c r="E11" s="149"/>
      <c r="F11" s="14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7"/>
    </row>
    <row r="12" spans="1:17" s="12" customFormat="1" ht="12" customHeight="1">
      <c r="A12" s="338" t="s">
        <v>143</v>
      </c>
      <c r="B12" s="161">
        <v>28</v>
      </c>
      <c r="C12" s="168">
        <v>0</v>
      </c>
      <c r="D12" s="149"/>
      <c r="E12" s="169">
        <v>602</v>
      </c>
      <c r="F12" s="149"/>
      <c r="G12" s="170">
        <v>0</v>
      </c>
      <c r="H12" s="159"/>
      <c r="I12" s="170">
        <v>0</v>
      </c>
      <c r="J12" s="159"/>
      <c r="K12" s="170">
        <v>0</v>
      </c>
      <c r="L12" s="159"/>
      <c r="M12" s="170">
        <v>0</v>
      </c>
      <c r="N12" s="159"/>
      <c r="O12" s="171">
        <f>-C12-G12-I12-E12</f>
        <v>-602</v>
      </c>
      <c r="P12" s="159"/>
      <c r="Q12" s="172">
        <f>SUM(C12:P12)</f>
        <v>0</v>
      </c>
    </row>
    <row r="13" spans="1:17" s="12" customFormat="1" ht="11.25" customHeight="1">
      <c r="A13" s="338" t="s">
        <v>133</v>
      </c>
      <c r="B13" s="161"/>
      <c r="C13" s="173">
        <v>0</v>
      </c>
      <c r="D13" s="149"/>
      <c r="E13" s="174">
        <f>E14+E15</f>
        <v>-15627</v>
      </c>
      <c r="F13" s="149"/>
      <c r="G13" s="173">
        <v>0</v>
      </c>
      <c r="H13" s="159"/>
      <c r="I13" s="173">
        <v>0</v>
      </c>
      <c r="J13" s="159"/>
      <c r="K13" s="173">
        <v>0</v>
      </c>
      <c r="L13" s="159"/>
      <c r="M13" s="173">
        <v>0</v>
      </c>
      <c r="N13" s="159"/>
      <c r="O13" s="174">
        <f>O14+O15</f>
        <v>479</v>
      </c>
      <c r="P13" s="159"/>
      <c r="Q13" s="173">
        <f>SUM(E13:P13)</f>
        <v>-15148</v>
      </c>
    </row>
    <row r="14" spans="1:17" s="12" customFormat="1" ht="12.75" customHeight="1">
      <c r="A14" s="339" t="s">
        <v>134</v>
      </c>
      <c r="B14" s="161"/>
      <c r="C14" s="168">
        <v>0</v>
      </c>
      <c r="D14" s="149"/>
      <c r="E14" s="172">
        <v>-17026</v>
      </c>
      <c r="F14" s="175"/>
      <c r="G14" s="170">
        <v>0</v>
      </c>
      <c r="H14" s="159"/>
      <c r="I14" s="170">
        <v>0</v>
      </c>
      <c r="J14" s="159"/>
      <c r="K14" s="170">
        <v>0</v>
      </c>
      <c r="L14" s="159"/>
      <c r="M14" s="170">
        <v>0</v>
      </c>
      <c r="N14" s="176"/>
      <c r="O14" s="177">
        <v>0</v>
      </c>
      <c r="P14" s="176"/>
      <c r="Q14" s="172">
        <f>SUM(E14:P14)</f>
        <v>-17026</v>
      </c>
    </row>
    <row r="15" spans="1:17" s="12" customFormat="1" ht="12" customHeight="1">
      <c r="A15" s="340" t="s">
        <v>135</v>
      </c>
      <c r="B15" s="178"/>
      <c r="C15" s="179">
        <v>0</v>
      </c>
      <c r="D15" s="179"/>
      <c r="E15" s="172">
        <v>1399</v>
      </c>
      <c r="F15" s="172"/>
      <c r="G15" s="172">
        <v>0</v>
      </c>
      <c r="H15" s="172"/>
      <c r="I15" s="172">
        <v>0</v>
      </c>
      <c r="J15" s="172"/>
      <c r="K15" s="172">
        <v>0</v>
      </c>
      <c r="L15" s="172"/>
      <c r="M15" s="172">
        <v>0</v>
      </c>
      <c r="N15" s="172"/>
      <c r="O15" s="172">
        <v>479</v>
      </c>
      <c r="P15" s="172"/>
      <c r="Q15" s="172">
        <f>SUM(C15:P15)</f>
        <v>1878</v>
      </c>
    </row>
    <row r="16" spans="1:17" s="12" customFormat="1" ht="13.5" customHeight="1">
      <c r="A16" s="286" t="s">
        <v>196</v>
      </c>
      <c r="B16" s="178"/>
      <c r="C16" s="173">
        <v>0</v>
      </c>
      <c r="D16" s="179"/>
      <c r="E16" s="173">
        <v>0</v>
      </c>
      <c r="F16" s="179"/>
      <c r="G16" s="173">
        <f>G17</f>
        <v>3825</v>
      </c>
      <c r="H16" s="179"/>
      <c r="I16" s="173">
        <v>0</v>
      </c>
      <c r="J16" s="179"/>
      <c r="K16" s="173">
        <v>0</v>
      </c>
      <c r="L16" s="179"/>
      <c r="M16" s="173">
        <f>M17</f>
        <v>21503</v>
      </c>
      <c r="N16" s="179"/>
      <c r="O16" s="173">
        <f>O17+O18</f>
        <v>-38249</v>
      </c>
      <c r="P16" s="179"/>
      <c r="Q16" s="173">
        <f>G16+M16+O16</f>
        <v>-12921</v>
      </c>
    </row>
    <row r="17" spans="1:17" s="12" customFormat="1" ht="12.75" customHeight="1">
      <c r="A17" s="287" t="s">
        <v>198</v>
      </c>
      <c r="B17" s="180"/>
      <c r="C17" s="172">
        <v>0</v>
      </c>
      <c r="D17" s="172"/>
      <c r="E17" s="172">
        <v>0</v>
      </c>
      <c r="F17" s="172"/>
      <c r="G17" s="172">
        <v>3825</v>
      </c>
      <c r="H17" s="172"/>
      <c r="I17" s="172">
        <v>0</v>
      </c>
      <c r="J17" s="172"/>
      <c r="K17" s="172">
        <v>0</v>
      </c>
      <c r="L17" s="172"/>
      <c r="M17" s="172">
        <v>21503</v>
      </c>
      <c r="N17" s="172"/>
      <c r="O17" s="172">
        <f>-G17-M17</f>
        <v>-25328</v>
      </c>
      <c r="P17" s="172"/>
      <c r="Q17" s="179">
        <f>SUM(C17:P17)</f>
        <v>0</v>
      </c>
    </row>
    <row r="18" spans="1:17" s="12" customFormat="1" ht="12.75" customHeight="1">
      <c r="A18" s="287" t="s">
        <v>197</v>
      </c>
      <c r="B18" s="180"/>
      <c r="C18" s="172">
        <v>0</v>
      </c>
      <c r="D18" s="172"/>
      <c r="E18" s="172">
        <v>0</v>
      </c>
      <c r="F18" s="172"/>
      <c r="G18" s="172">
        <v>0</v>
      </c>
      <c r="H18" s="172"/>
      <c r="I18" s="172">
        <v>0</v>
      </c>
      <c r="J18" s="172"/>
      <c r="K18" s="172">
        <v>0</v>
      </c>
      <c r="L18" s="172"/>
      <c r="M18" s="172">
        <v>0</v>
      </c>
      <c r="N18" s="172"/>
      <c r="O18" s="172">
        <v>-12921</v>
      </c>
      <c r="P18" s="172"/>
      <c r="Q18" s="172">
        <f>O18</f>
        <v>-12921</v>
      </c>
    </row>
    <row r="19" spans="1:18" s="12" customFormat="1" ht="14.25" customHeight="1">
      <c r="A19" s="341" t="s">
        <v>137</v>
      </c>
      <c r="B19" s="181"/>
      <c r="C19" s="182">
        <f>+C22+C23</f>
        <v>0</v>
      </c>
      <c r="D19" s="183"/>
      <c r="E19" s="182">
        <f>+E22+E23</f>
        <v>0</v>
      </c>
      <c r="F19" s="183"/>
      <c r="G19" s="182">
        <f>+G22+G23</f>
        <v>0</v>
      </c>
      <c r="H19" s="183"/>
      <c r="I19" s="182">
        <v>-38</v>
      </c>
      <c r="J19" s="183"/>
      <c r="K19" s="182">
        <v>1284</v>
      </c>
      <c r="L19" s="183"/>
      <c r="M19" s="182">
        <v>0</v>
      </c>
      <c r="N19" s="183"/>
      <c r="O19" s="182">
        <v>41742</v>
      </c>
      <c r="P19" s="183"/>
      <c r="Q19" s="182">
        <f>SUM(C19:P19)</f>
        <v>42988</v>
      </c>
      <c r="R19" s="103"/>
    </row>
    <row r="20" spans="1:18" s="12" customFormat="1" ht="15.75" customHeight="1">
      <c r="A20" s="338" t="s">
        <v>143</v>
      </c>
      <c r="B20" s="161" t="s">
        <v>24</v>
      </c>
      <c r="C20" s="179">
        <v>0</v>
      </c>
      <c r="D20" s="179"/>
      <c r="E20" s="179">
        <v>0</v>
      </c>
      <c r="F20" s="179"/>
      <c r="G20" s="179">
        <v>0</v>
      </c>
      <c r="H20" s="179"/>
      <c r="I20" s="179">
        <v>0</v>
      </c>
      <c r="J20" s="179"/>
      <c r="K20" s="179">
        <v>14</v>
      </c>
      <c r="L20" s="179"/>
      <c r="M20" s="179"/>
      <c r="N20" s="179"/>
      <c r="O20" s="179">
        <f>1922</f>
        <v>1922</v>
      </c>
      <c r="P20" s="179"/>
      <c r="Q20" s="164">
        <f>SUM(C20:P20)</f>
        <v>1936</v>
      </c>
      <c r="R20" s="103"/>
    </row>
    <row r="21" spans="1:18" s="12" customFormat="1" ht="15" customHeight="1">
      <c r="A21" s="288" t="s">
        <v>83</v>
      </c>
      <c r="B21" s="181"/>
      <c r="C21" s="183">
        <f>C19+C20</f>
        <v>0</v>
      </c>
      <c r="D21" s="183"/>
      <c r="E21" s="183">
        <f>E19+E20</f>
        <v>0</v>
      </c>
      <c r="F21" s="183"/>
      <c r="G21" s="183">
        <f>G19+G20</f>
        <v>0</v>
      </c>
      <c r="H21" s="183"/>
      <c r="I21" s="183">
        <f>I19+I20</f>
        <v>-38</v>
      </c>
      <c r="J21" s="183"/>
      <c r="K21" s="183">
        <f>K19+K20</f>
        <v>1298</v>
      </c>
      <c r="L21" s="183"/>
      <c r="M21" s="183">
        <f>M19+M20</f>
        <v>0</v>
      </c>
      <c r="N21" s="183"/>
      <c r="O21" s="183">
        <f>O19+O20</f>
        <v>43664</v>
      </c>
      <c r="P21" s="183"/>
      <c r="Q21" s="183">
        <f>Q19+Q20</f>
        <v>44924</v>
      </c>
      <c r="R21" s="103"/>
    </row>
    <row r="22" spans="1:17" s="12" customFormat="1" ht="13.5" customHeight="1">
      <c r="A22" s="289" t="s">
        <v>199</v>
      </c>
      <c r="B22" s="178"/>
      <c r="C22" s="172">
        <v>0</v>
      </c>
      <c r="D22" s="172"/>
      <c r="E22" s="172">
        <v>0</v>
      </c>
      <c r="F22" s="172"/>
      <c r="G22" s="172">
        <v>0</v>
      </c>
      <c r="H22" s="172"/>
      <c r="I22" s="172">
        <v>0</v>
      </c>
      <c r="J22" s="172"/>
      <c r="K22" s="172">
        <v>0</v>
      </c>
      <c r="L22" s="172"/>
      <c r="M22" s="172">
        <v>0</v>
      </c>
      <c r="N22" s="172"/>
      <c r="O22" s="172">
        <v>44228</v>
      </c>
      <c r="P22" s="172"/>
      <c r="Q22" s="172">
        <f>SUM(C22:P22)</f>
        <v>44228</v>
      </c>
    </row>
    <row r="23" spans="1:17" s="12" customFormat="1" ht="15" customHeight="1">
      <c r="A23" s="289" t="s">
        <v>200</v>
      </c>
      <c r="B23" s="178"/>
      <c r="C23" s="172">
        <v>0</v>
      </c>
      <c r="D23" s="172"/>
      <c r="E23" s="172">
        <v>0</v>
      </c>
      <c r="F23" s="172"/>
      <c r="G23" s="172">
        <v>0</v>
      </c>
      <c r="H23" s="172"/>
      <c r="I23" s="172">
        <v>-38</v>
      </c>
      <c r="J23" s="172"/>
      <c r="K23" s="172">
        <v>1298</v>
      </c>
      <c r="L23" s="184"/>
      <c r="M23" s="172">
        <v>0</v>
      </c>
      <c r="N23" s="184"/>
      <c r="O23" s="172">
        <f>-564</f>
        <v>-564</v>
      </c>
      <c r="P23" s="184"/>
      <c r="Q23" s="172">
        <f>SUM(C23:P23)</f>
        <v>696</v>
      </c>
    </row>
    <row r="24" spans="1:17" s="12" customFormat="1" ht="16.5" customHeight="1">
      <c r="A24" s="338" t="s">
        <v>143</v>
      </c>
      <c r="B24" s="161" t="s">
        <v>24</v>
      </c>
      <c r="C24" s="172">
        <v>0</v>
      </c>
      <c r="D24" s="172"/>
      <c r="E24" s="172">
        <v>327</v>
      </c>
      <c r="F24" s="172"/>
      <c r="G24" s="172"/>
      <c r="H24" s="172"/>
      <c r="I24" s="172"/>
      <c r="J24" s="172"/>
      <c r="K24" s="172">
        <v>-14</v>
      </c>
      <c r="L24" s="184"/>
      <c r="M24" s="172"/>
      <c r="N24" s="184"/>
      <c r="O24" s="172">
        <f>-5113</f>
        <v>-5113</v>
      </c>
      <c r="P24" s="172" t="s">
        <v>28</v>
      </c>
      <c r="Q24" s="164">
        <f>SUM(C24:P24)</f>
        <v>-4800</v>
      </c>
    </row>
    <row r="25" spans="1:17" s="12" customFormat="1" ht="13.5" customHeight="1">
      <c r="A25" s="290" t="s">
        <v>201</v>
      </c>
      <c r="B25" s="178"/>
      <c r="C25" s="179">
        <v>0</v>
      </c>
      <c r="D25" s="179"/>
      <c r="E25" s="179">
        <v>0</v>
      </c>
      <c r="F25" s="179"/>
      <c r="G25" s="179">
        <v>0</v>
      </c>
      <c r="H25" s="179"/>
      <c r="I25" s="179">
        <v>-294</v>
      </c>
      <c r="J25" s="179"/>
      <c r="K25" s="179">
        <v>0</v>
      </c>
      <c r="L25" s="179"/>
      <c r="M25" s="179">
        <v>0</v>
      </c>
      <c r="N25" s="179"/>
      <c r="O25" s="179">
        <f>-I25</f>
        <v>294</v>
      </c>
      <c r="P25" s="179"/>
      <c r="Q25" s="179">
        <f>I25+O25</f>
        <v>0</v>
      </c>
    </row>
    <row r="26" spans="1:17" s="12" customFormat="1" ht="16.5" customHeight="1" thickBot="1">
      <c r="A26" s="285" t="s">
        <v>85</v>
      </c>
      <c r="B26" s="161">
        <v>28</v>
      </c>
      <c r="C26" s="185">
        <f>C10</f>
        <v>134798</v>
      </c>
      <c r="D26" s="149"/>
      <c r="E26" s="185">
        <f>E10+E12+E13+E24</f>
        <v>-33834</v>
      </c>
      <c r="F26" s="186"/>
      <c r="G26" s="185">
        <f>G10+G16</f>
        <v>51666</v>
      </c>
      <c r="H26" s="187"/>
      <c r="I26" s="185">
        <f>I10+I12+I25+I19</f>
        <v>23839</v>
      </c>
      <c r="J26" s="187"/>
      <c r="K26" s="185">
        <f>K10+K19</f>
        <v>4089</v>
      </c>
      <c r="L26" s="187"/>
      <c r="M26" s="185">
        <f>M10+M16</f>
        <v>251089</v>
      </c>
      <c r="N26" s="187"/>
      <c r="O26" s="185">
        <f>O8+O12+O13+O16+O19+O25</f>
        <v>46147</v>
      </c>
      <c r="P26" s="187"/>
      <c r="Q26" s="185">
        <f>Q8+Q12+Q13+Q16+Q19+Q25</f>
        <v>477794</v>
      </c>
    </row>
    <row r="27" spans="1:17" s="12" customFormat="1" ht="14.25" customHeight="1" thickTop="1">
      <c r="A27" s="338" t="s">
        <v>143</v>
      </c>
      <c r="B27" s="208">
        <v>40</v>
      </c>
      <c r="C27" s="188">
        <f>C9+C20+C24</f>
        <v>0</v>
      </c>
      <c r="D27" s="188"/>
      <c r="E27" s="188">
        <f>E9+E20+E24</f>
        <v>0</v>
      </c>
      <c r="F27" s="188"/>
      <c r="G27" s="188">
        <f>G9+G20+G24</f>
        <v>0</v>
      </c>
      <c r="H27" s="189"/>
      <c r="I27" s="188">
        <f>I9+I20+I24</f>
        <v>0</v>
      </c>
      <c r="J27" s="189"/>
      <c r="K27" s="188">
        <f>K9+K20+K24</f>
        <v>0</v>
      </c>
      <c r="L27" s="189"/>
      <c r="M27" s="188">
        <f>M9+M20+M24</f>
        <v>0</v>
      </c>
      <c r="N27" s="189"/>
      <c r="O27" s="188">
        <f>O9+O20+O24</f>
        <v>-316</v>
      </c>
      <c r="P27" s="189" t="s">
        <v>28</v>
      </c>
      <c r="Q27" s="188">
        <f>Q9+Q20+Q24</f>
        <v>-316</v>
      </c>
    </row>
    <row r="28" spans="1:18" s="12" customFormat="1" ht="11.25" customHeight="1" thickBot="1">
      <c r="A28" s="160" t="s">
        <v>139</v>
      </c>
      <c r="B28" s="161" t="s">
        <v>24</v>
      </c>
      <c r="C28" s="190">
        <f>SUM(C26:C27)</f>
        <v>134798</v>
      </c>
      <c r="D28" s="191"/>
      <c r="E28" s="190">
        <f>SUM(E26:E27)</f>
        <v>-33834</v>
      </c>
      <c r="F28" s="191"/>
      <c r="G28" s="190">
        <f>SUM(G26:G27)</f>
        <v>51666</v>
      </c>
      <c r="H28" s="192"/>
      <c r="I28" s="190">
        <f>SUM(I26:I27)</f>
        <v>23839</v>
      </c>
      <c r="J28" s="192"/>
      <c r="K28" s="190">
        <f>SUM(K26:K27)</f>
        <v>4089</v>
      </c>
      <c r="L28" s="192"/>
      <c r="M28" s="190">
        <f>SUM(M26:M27)</f>
        <v>251089</v>
      </c>
      <c r="N28" s="192"/>
      <c r="O28" s="190">
        <f>SUM(O26:O27)</f>
        <v>45831</v>
      </c>
      <c r="P28" s="192"/>
      <c r="Q28" s="190">
        <f>SUM(Q26:Q27)</f>
        <v>477478</v>
      </c>
      <c r="R28" s="103"/>
    </row>
    <row r="29" spans="1:18" s="12" customFormat="1" ht="14.25" customHeight="1" thickTop="1">
      <c r="A29" s="338" t="s">
        <v>138</v>
      </c>
      <c r="B29" s="161">
        <v>44</v>
      </c>
      <c r="C29" s="191">
        <v>0</v>
      </c>
      <c r="D29" s="191"/>
      <c r="E29" s="191">
        <v>0</v>
      </c>
      <c r="F29" s="191"/>
      <c r="G29" s="191">
        <v>0</v>
      </c>
      <c r="H29" s="192"/>
      <c r="I29" s="191">
        <v>0</v>
      </c>
      <c r="J29" s="192"/>
      <c r="K29" s="191">
        <v>0</v>
      </c>
      <c r="L29" s="192"/>
      <c r="M29" s="191">
        <v>0</v>
      </c>
      <c r="N29" s="192"/>
      <c r="O29" s="204">
        <v>-1309</v>
      </c>
      <c r="P29" s="201" t="s">
        <v>27</v>
      </c>
      <c r="Q29" s="191">
        <f>O29</f>
        <v>-1309</v>
      </c>
      <c r="R29" s="103"/>
    </row>
    <row r="30" spans="1:18" s="12" customFormat="1" ht="14.25" customHeight="1" thickBot="1">
      <c r="A30" s="160" t="s">
        <v>202</v>
      </c>
      <c r="B30" s="161"/>
      <c r="C30" s="190">
        <f>C28+C29</f>
        <v>134798</v>
      </c>
      <c r="D30" s="191"/>
      <c r="E30" s="190">
        <f>E28+E29</f>
        <v>-33834</v>
      </c>
      <c r="F30" s="191"/>
      <c r="G30" s="190">
        <f>G28+G29</f>
        <v>51666</v>
      </c>
      <c r="H30" s="192"/>
      <c r="I30" s="190">
        <f>I28+I29</f>
        <v>23839</v>
      </c>
      <c r="J30" s="192"/>
      <c r="K30" s="190">
        <f>K28+K29</f>
        <v>4089</v>
      </c>
      <c r="L30" s="192"/>
      <c r="M30" s="190">
        <f>M28+M29</f>
        <v>251089</v>
      </c>
      <c r="N30" s="192"/>
      <c r="O30" s="190">
        <f>O28+O29</f>
        <v>44522</v>
      </c>
      <c r="P30" s="201"/>
      <c r="Q30" s="190">
        <f>Q28+Q29</f>
        <v>476169</v>
      </c>
      <c r="R30" s="103"/>
    </row>
    <row r="31" spans="1:17" s="12" customFormat="1" ht="14.25" customHeight="1" thickTop="1">
      <c r="A31" s="342" t="s">
        <v>140</v>
      </c>
      <c r="B31" s="342"/>
      <c r="C31" s="149"/>
      <c r="D31" s="149"/>
      <c r="E31" s="149"/>
      <c r="F31" s="14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7"/>
    </row>
    <row r="32" spans="1:17" s="12" customFormat="1" ht="14.25" customHeight="1">
      <c r="A32" s="338" t="s">
        <v>143</v>
      </c>
      <c r="B32" s="161" t="s">
        <v>24</v>
      </c>
      <c r="C32" s="168">
        <v>0</v>
      </c>
      <c r="D32" s="149"/>
      <c r="E32" s="169">
        <v>265</v>
      </c>
      <c r="F32" s="149"/>
      <c r="G32" s="170">
        <v>0</v>
      </c>
      <c r="H32" s="159"/>
      <c r="I32" s="193">
        <v>1744</v>
      </c>
      <c r="J32" s="159"/>
      <c r="K32" s="193">
        <v>20</v>
      </c>
      <c r="L32" s="159"/>
      <c r="M32" s="170">
        <v>0</v>
      </c>
      <c r="N32" s="159"/>
      <c r="O32" s="171">
        <f>-C32-G32-I32-E32-K32</f>
        <v>-2029</v>
      </c>
      <c r="P32" s="159"/>
      <c r="Q32" s="172">
        <f>SUM(C32:P32)</f>
        <v>0</v>
      </c>
    </row>
    <row r="33" spans="1:17" s="12" customFormat="1" ht="13.5" customHeight="1">
      <c r="A33" s="338" t="s">
        <v>133</v>
      </c>
      <c r="B33" s="161"/>
      <c r="C33" s="173">
        <v>0</v>
      </c>
      <c r="D33" s="149"/>
      <c r="E33" s="174">
        <f>E35+E36+E34</f>
        <v>232</v>
      </c>
      <c r="F33" s="149"/>
      <c r="G33" s="173">
        <v>0</v>
      </c>
      <c r="H33" s="159"/>
      <c r="I33" s="173">
        <v>0</v>
      </c>
      <c r="J33" s="159"/>
      <c r="K33" s="173">
        <v>0</v>
      </c>
      <c r="L33" s="159"/>
      <c r="M33" s="173">
        <v>0</v>
      </c>
      <c r="N33" s="159"/>
      <c r="O33" s="174">
        <f>O35+O36+O34</f>
        <v>141</v>
      </c>
      <c r="P33" s="159"/>
      <c r="Q33" s="173">
        <f>SUM(E33:P33)</f>
        <v>373</v>
      </c>
    </row>
    <row r="34" spans="1:17" s="12" customFormat="1" ht="15" customHeight="1">
      <c r="A34" s="339" t="s">
        <v>141</v>
      </c>
      <c r="B34" s="161"/>
      <c r="C34" s="179">
        <v>0</v>
      </c>
      <c r="D34" s="149"/>
      <c r="E34" s="194">
        <v>1082</v>
      </c>
      <c r="F34" s="149"/>
      <c r="G34" s="179">
        <v>0</v>
      </c>
      <c r="H34" s="159"/>
      <c r="I34" s="179">
        <v>0</v>
      </c>
      <c r="J34" s="159"/>
      <c r="K34" s="179">
        <v>0</v>
      </c>
      <c r="L34" s="159"/>
      <c r="M34" s="179">
        <v>0</v>
      </c>
      <c r="N34" s="159"/>
      <c r="O34" s="194">
        <v>142</v>
      </c>
      <c r="P34" s="159"/>
      <c r="Q34" s="172">
        <f>SUM(E34:P34)</f>
        <v>1224</v>
      </c>
    </row>
    <row r="35" spans="1:17" s="12" customFormat="1" ht="14.25" customHeight="1">
      <c r="A35" s="339" t="s">
        <v>134</v>
      </c>
      <c r="B35" s="161"/>
      <c r="C35" s="168">
        <v>0</v>
      </c>
      <c r="D35" s="149"/>
      <c r="E35" s="172">
        <v>-861</v>
      </c>
      <c r="F35" s="175"/>
      <c r="G35" s="170">
        <v>0</v>
      </c>
      <c r="H35" s="159"/>
      <c r="I35" s="170">
        <v>0</v>
      </c>
      <c r="J35" s="159"/>
      <c r="K35" s="170">
        <v>0</v>
      </c>
      <c r="L35" s="159"/>
      <c r="M35" s="170">
        <v>0</v>
      </c>
      <c r="N35" s="176"/>
      <c r="O35" s="177">
        <v>0</v>
      </c>
      <c r="P35" s="176"/>
      <c r="Q35" s="172">
        <f>SUM(E35:P35)</f>
        <v>-861</v>
      </c>
    </row>
    <row r="36" spans="1:17" s="12" customFormat="1" ht="12.75" customHeight="1">
      <c r="A36" s="340" t="s">
        <v>135</v>
      </c>
      <c r="B36" s="178"/>
      <c r="C36" s="179">
        <v>0</v>
      </c>
      <c r="D36" s="179"/>
      <c r="E36" s="172">
        <v>11</v>
      </c>
      <c r="F36" s="172"/>
      <c r="G36" s="172">
        <v>0</v>
      </c>
      <c r="H36" s="172"/>
      <c r="I36" s="172">
        <v>0</v>
      </c>
      <c r="J36" s="172"/>
      <c r="K36" s="172">
        <v>0</v>
      </c>
      <c r="L36" s="172"/>
      <c r="M36" s="172">
        <v>0</v>
      </c>
      <c r="N36" s="172"/>
      <c r="O36" s="172">
        <v>-1</v>
      </c>
      <c r="P36" s="172"/>
      <c r="Q36" s="172">
        <f>SUM(C36:P36)</f>
        <v>10</v>
      </c>
    </row>
    <row r="37" spans="1:17" s="12" customFormat="1" ht="12.75" customHeight="1">
      <c r="A37" s="286" t="s">
        <v>203</v>
      </c>
      <c r="B37" s="178"/>
      <c r="C37" s="173">
        <v>0</v>
      </c>
      <c r="D37" s="179"/>
      <c r="E37" s="173">
        <v>0</v>
      </c>
      <c r="F37" s="179"/>
      <c r="G37" s="173">
        <f>G38</f>
        <v>4301</v>
      </c>
      <c r="H37" s="179"/>
      <c r="I37" s="173">
        <v>0</v>
      </c>
      <c r="J37" s="179"/>
      <c r="K37" s="173">
        <v>0</v>
      </c>
      <c r="L37" s="179"/>
      <c r="M37" s="173">
        <f>M38</f>
        <v>24888</v>
      </c>
      <c r="N37" s="179"/>
      <c r="O37" s="173">
        <f>O38+O39+O40</f>
        <v>-49295</v>
      </c>
      <c r="P37" s="179"/>
      <c r="Q37" s="173">
        <f>G37+M37+O37</f>
        <v>-20106</v>
      </c>
    </row>
    <row r="38" spans="1:17" s="12" customFormat="1" ht="12.75" customHeight="1">
      <c r="A38" s="287" t="s">
        <v>198</v>
      </c>
      <c r="B38" s="180"/>
      <c r="C38" s="172">
        <v>0</v>
      </c>
      <c r="D38" s="172"/>
      <c r="E38" s="172">
        <v>0</v>
      </c>
      <c r="F38" s="172"/>
      <c r="G38" s="172">
        <v>4301</v>
      </c>
      <c r="H38" s="172"/>
      <c r="I38" s="172">
        <v>0</v>
      </c>
      <c r="J38" s="172"/>
      <c r="K38" s="172">
        <v>0</v>
      </c>
      <c r="L38" s="172"/>
      <c r="M38" s="172">
        <v>24888</v>
      </c>
      <c r="N38" s="172"/>
      <c r="O38" s="172">
        <f>-G38-M38</f>
        <v>-29189</v>
      </c>
      <c r="P38" s="172"/>
      <c r="Q38" s="179">
        <f>SUM(C38:P38)</f>
        <v>0</v>
      </c>
    </row>
    <row r="39" spans="1:17" s="12" customFormat="1" ht="12" customHeight="1">
      <c r="A39" s="287" t="s">
        <v>204</v>
      </c>
      <c r="B39" s="180"/>
      <c r="C39" s="172">
        <v>0</v>
      </c>
      <c r="D39" s="172"/>
      <c r="E39" s="172">
        <v>0</v>
      </c>
      <c r="F39" s="172"/>
      <c r="G39" s="172">
        <v>0</v>
      </c>
      <c r="H39" s="172"/>
      <c r="I39" s="172">
        <v>0</v>
      </c>
      <c r="J39" s="172"/>
      <c r="K39" s="172">
        <v>0</v>
      </c>
      <c r="L39" s="172"/>
      <c r="M39" s="172">
        <v>0</v>
      </c>
      <c r="N39" s="172"/>
      <c r="O39" s="172">
        <v>-13822</v>
      </c>
      <c r="P39" s="172"/>
      <c r="Q39" s="172">
        <f>O39</f>
        <v>-13822</v>
      </c>
    </row>
    <row r="40" spans="1:17" s="12" customFormat="1" ht="11.25" customHeight="1">
      <c r="A40" s="207" t="s">
        <v>132</v>
      </c>
      <c r="B40" s="180"/>
      <c r="C40" s="172">
        <v>0</v>
      </c>
      <c r="D40" s="172"/>
      <c r="E40" s="172">
        <v>0</v>
      </c>
      <c r="F40" s="172"/>
      <c r="G40" s="172">
        <v>0</v>
      </c>
      <c r="H40" s="172"/>
      <c r="I40" s="172">
        <v>0</v>
      </c>
      <c r="J40" s="172"/>
      <c r="K40" s="172">
        <v>0</v>
      </c>
      <c r="L40" s="172"/>
      <c r="M40" s="172">
        <v>0</v>
      </c>
      <c r="N40" s="172"/>
      <c r="O40" s="172">
        <v>-6284</v>
      </c>
      <c r="P40" s="172"/>
      <c r="Q40" s="172">
        <f>O40</f>
        <v>-6284</v>
      </c>
    </row>
    <row r="41" spans="1:18" s="12" customFormat="1" ht="14.25" customHeight="1">
      <c r="A41" s="291" t="s">
        <v>142</v>
      </c>
      <c r="B41" s="181"/>
      <c r="C41" s="182">
        <f>+C42+C43</f>
        <v>0</v>
      </c>
      <c r="D41" s="183"/>
      <c r="E41" s="182">
        <f>+E42+E43</f>
        <v>0</v>
      </c>
      <c r="F41" s="183"/>
      <c r="G41" s="182">
        <f>+G42+G43</f>
        <v>0</v>
      </c>
      <c r="H41" s="183"/>
      <c r="I41" s="182">
        <f>I43</f>
        <v>307</v>
      </c>
      <c r="J41" s="183"/>
      <c r="K41" s="182">
        <f>+K42+K43</f>
        <v>-792</v>
      </c>
      <c r="L41" s="183"/>
      <c r="M41" s="182">
        <v>0</v>
      </c>
      <c r="N41" s="183"/>
      <c r="O41" s="182">
        <f>+O42+O43</f>
        <v>33268</v>
      </c>
      <c r="P41" s="183"/>
      <c r="Q41" s="182">
        <f>SUM(C41:P41)</f>
        <v>32783</v>
      </c>
      <c r="R41" s="104"/>
    </row>
    <row r="42" spans="1:17" s="12" customFormat="1" ht="12.75" customHeight="1">
      <c r="A42" s="292" t="s">
        <v>199</v>
      </c>
      <c r="B42" s="178"/>
      <c r="C42" s="172">
        <v>0</v>
      </c>
      <c r="D42" s="172"/>
      <c r="E42" s="172">
        <v>0</v>
      </c>
      <c r="F42" s="172"/>
      <c r="G42" s="172">
        <v>0</v>
      </c>
      <c r="H42" s="172"/>
      <c r="I42" s="172">
        <v>0</v>
      </c>
      <c r="J42" s="172"/>
      <c r="K42" s="172">
        <v>0</v>
      </c>
      <c r="L42" s="172"/>
      <c r="M42" s="172">
        <v>0</v>
      </c>
      <c r="N42" s="172"/>
      <c r="O42" s="172">
        <f>'IS'!C28</f>
        <v>33298</v>
      </c>
      <c r="P42" s="172"/>
      <c r="Q42" s="172">
        <f>SUM(C42:P42)</f>
        <v>33298</v>
      </c>
    </row>
    <row r="43" spans="1:17" s="12" customFormat="1" ht="14.25" customHeight="1">
      <c r="A43" s="292" t="s">
        <v>200</v>
      </c>
      <c r="B43" s="178"/>
      <c r="C43" s="172">
        <v>0</v>
      </c>
      <c r="D43" s="172"/>
      <c r="E43" s="172">
        <v>0</v>
      </c>
      <c r="F43" s="172"/>
      <c r="G43" s="172">
        <v>0</v>
      </c>
      <c r="H43" s="172"/>
      <c r="I43" s="172">
        <f>'IS'!C32+'IS'!C35</f>
        <v>307</v>
      </c>
      <c r="J43" s="172"/>
      <c r="K43" s="172">
        <f>-99-656-37</f>
        <v>-792</v>
      </c>
      <c r="L43" s="184"/>
      <c r="M43" s="172">
        <v>0</v>
      </c>
      <c r="N43" s="184"/>
      <c r="O43" s="172">
        <f>'IS'!C34</f>
        <v>-30</v>
      </c>
      <c r="P43" s="184"/>
      <c r="Q43" s="172">
        <f>SUM(C43:P43)</f>
        <v>-515</v>
      </c>
    </row>
    <row r="44" spans="1:17" s="12" customFormat="1" ht="12.75" customHeight="1">
      <c r="A44" s="290" t="s">
        <v>84</v>
      </c>
      <c r="B44" s="178"/>
      <c r="C44" s="179">
        <v>0</v>
      </c>
      <c r="D44" s="179"/>
      <c r="E44" s="179">
        <v>0</v>
      </c>
      <c r="F44" s="179"/>
      <c r="G44" s="179">
        <v>0</v>
      </c>
      <c r="H44" s="179"/>
      <c r="I44" s="179">
        <v>-3457</v>
      </c>
      <c r="J44" s="179"/>
      <c r="K44" s="179">
        <f>-1077+656+37</f>
        <v>-384</v>
      </c>
      <c r="L44" s="201"/>
      <c r="M44" s="179">
        <v>0</v>
      </c>
      <c r="N44" s="179"/>
      <c r="O44" s="179">
        <f>-I44-K44</f>
        <v>3841</v>
      </c>
      <c r="P44" s="179"/>
      <c r="Q44" s="179">
        <f>I44+O44+K44</f>
        <v>0</v>
      </c>
    </row>
    <row r="45" spans="1:19" s="12" customFormat="1" ht="16.5" customHeight="1" thickBot="1">
      <c r="A45" s="160" t="s">
        <v>131</v>
      </c>
      <c r="B45" s="161">
        <v>28</v>
      </c>
      <c r="C45" s="185">
        <f>C30+C32</f>
        <v>134798</v>
      </c>
      <c r="D45" s="149"/>
      <c r="E45" s="185">
        <f>E30+E32+E33</f>
        <v>-33337</v>
      </c>
      <c r="F45" s="186"/>
      <c r="G45" s="185">
        <f>G30+G37+G32</f>
        <v>55967</v>
      </c>
      <c r="H45" s="187"/>
      <c r="I45" s="185">
        <f>I30+I32+I44+I41</f>
        <v>22433</v>
      </c>
      <c r="J45" s="187"/>
      <c r="K45" s="185">
        <f>K30+K41+K32+K44</f>
        <v>2933</v>
      </c>
      <c r="L45" s="187"/>
      <c r="M45" s="185">
        <f>M30+M37</f>
        <v>275977</v>
      </c>
      <c r="N45" s="187"/>
      <c r="O45" s="185">
        <f>O30+O33+O37+O41+O32+O44</f>
        <v>30448</v>
      </c>
      <c r="P45" s="187"/>
      <c r="Q45" s="185">
        <f>Q30+Q37+Q41+Q44+Q32+Q33</f>
        <v>489219</v>
      </c>
      <c r="R45" s="103"/>
      <c r="S45" s="103"/>
    </row>
    <row r="46" spans="1:17" s="12" customFormat="1" ht="8.25" customHeight="1" thickTop="1">
      <c r="A46" s="160"/>
      <c r="B46" s="178"/>
      <c r="C46" s="149"/>
      <c r="D46" s="149"/>
      <c r="E46" s="149"/>
      <c r="F46" s="14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7"/>
    </row>
    <row r="47" spans="1:17" s="8" customFormat="1" ht="15">
      <c r="A47" s="254" t="s">
        <v>96</v>
      </c>
      <c r="B47" s="293"/>
      <c r="C47" s="294"/>
      <c r="D47" s="178"/>
      <c r="E47" s="178"/>
      <c r="F47" s="178"/>
      <c r="G47" s="164"/>
      <c r="H47" s="178"/>
      <c r="I47" s="164"/>
      <c r="J47" s="178"/>
      <c r="K47" s="164"/>
      <c r="L47" s="178"/>
      <c r="M47" s="164"/>
      <c r="N47" s="178"/>
      <c r="O47" s="164">
        <f>O45-SFP!C34</f>
        <v>0</v>
      </c>
      <c r="P47" s="178"/>
      <c r="Q47" s="197"/>
    </row>
    <row r="48" spans="1:17" s="8" customFormat="1" ht="8.25" customHeight="1">
      <c r="A48" s="195"/>
      <c r="B48" s="196"/>
      <c r="C48" s="178"/>
      <c r="D48" s="178"/>
      <c r="E48" s="178"/>
      <c r="F48" s="178"/>
      <c r="G48" s="164"/>
      <c r="H48" s="178"/>
      <c r="I48" s="164"/>
      <c r="J48" s="178"/>
      <c r="K48" s="164"/>
      <c r="L48" s="178"/>
      <c r="M48" s="164"/>
      <c r="N48" s="178"/>
      <c r="O48" s="164"/>
      <c r="P48" s="178"/>
      <c r="Q48" s="197"/>
    </row>
    <row r="49" spans="1:17" s="135" customFormat="1" ht="13.5" customHeight="1">
      <c r="A49" s="255" t="s">
        <v>32</v>
      </c>
      <c r="B49" s="295" t="s">
        <v>205</v>
      </c>
      <c r="C49" s="296"/>
      <c r="D49" s="199"/>
      <c r="E49" s="199"/>
      <c r="F49" s="199"/>
      <c r="G49" s="299" t="s">
        <v>52</v>
      </c>
      <c r="H49" s="296"/>
      <c r="I49" s="296"/>
      <c r="J49" s="296"/>
      <c r="K49" s="296"/>
      <c r="L49" s="199"/>
      <c r="M49" s="199"/>
      <c r="N49" s="199"/>
      <c r="O49" s="199"/>
      <c r="P49" s="198"/>
      <c r="Q49" s="198"/>
    </row>
    <row r="50" spans="1:17" s="135" customFormat="1" ht="17.25" customHeight="1">
      <c r="A50" s="297" t="s">
        <v>99</v>
      </c>
      <c r="B50" s="296"/>
      <c r="C50" s="298" t="s">
        <v>13</v>
      </c>
      <c r="D50" s="296"/>
      <c r="E50" s="296"/>
      <c r="F50" s="199"/>
      <c r="G50" s="199"/>
      <c r="H50" s="195"/>
      <c r="I50" s="299" t="s">
        <v>8</v>
      </c>
      <c r="J50" s="296"/>
      <c r="K50" s="296"/>
      <c r="L50" s="199"/>
      <c r="M50" s="199"/>
      <c r="N50" s="199"/>
      <c r="O50" s="199"/>
      <c r="P50" s="198"/>
      <c r="Q50" s="198"/>
    </row>
    <row r="51" spans="1:17" s="135" customFormat="1" ht="13.5" customHeight="1">
      <c r="A51" s="333" t="str">
        <f>'IS'!A54</f>
        <v>* Объединенные показатели (Приложение № 40)</v>
      </c>
      <c r="B51" s="32"/>
      <c r="C51"/>
      <c r="D51"/>
      <c r="E51"/>
      <c r="F51"/>
      <c r="G51"/>
      <c r="H51" s="136"/>
      <c r="I51" s="134"/>
      <c r="L51" s="136"/>
      <c r="P51" s="134"/>
      <c r="Q51" s="134"/>
    </row>
    <row r="52" spans="1:7" ht="15">
      <c r="A52" s="210" t="str">
        <f>'IS'!A55</f>
        <v>** Модифицированное ретроспективное применение МСФО 9 и МСФО 15 (Приложение № 44)</v>
      </c>
      <c r="B52" s="32"/>
      <c r="C52"/>
      <c r="D52"/>
      <c r="E52"/>
      <c r="F52"/>
      <c r="G52"/>
    </row>
    <row r="53" spans="1:2" ht="15">
      <c r="A53" s="138"/>
      <c r="B53"/>
    </row>
    <row r="62" spans="1:2" ht="15">
      <c r="A62" s="29"/>
      <c r="B62" s="29"/>
    </row>
  </sheetData>
  <sheetProtection/>
  <mergeCells count="11">
    <mergeCell ref="A11:B11"/>
    <mergeCell ref="K4:K5"/>
    <mergeCell ref="A31:B31"/>
    <mergeCell ref="G4:G5"/>
    <mergeCell ref="A4:B5"/>
    <mergeCell ref="A2:Q2"/>
    <mergeCell ref="Q4:Q5"/>
    <mergeCell ref="C4:C5"/>
    <mergeCell ref="E4:E5"/>
    <mergeCell ref="M4:M5"/>
    <mergeCell ref="O4:O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3"/>
  <headerFooter alignWithMargins="0"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2019-03-28T08:02:43Z</cp:lastPrinted>
  <dcterms:created xsi:type="dcterms:W3CDTF">2003-02-07T14:36:34Z</dcterms:created>
  <dcterms:modified xsi:type="dcterms:W3CDTF">2019-04-05T06:47:56Z</dcterms:modified>
  <cp:category/>
  <cp:version/>
  <cp:contentType/>
  <cp:contentStatus/>
</cp:coreProperties>
</file>