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10104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_xlnm.Print_Area" localSheetId="3">'CFS'!$A$1:$E$68</definedName>
    <definedName name="_xlnm.Print_Area" localSheetId="4">'EQS'!$A$1:$S$53</definedName>
    <definedName name="_xlnm.Print_Area" localSheetId="1">'IS'!$A$1:$E$60</definedName>
    <definedName name="_xlnm.Print_Area" localSheetId="2">'SFP'!$A$1:$F$73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'CFS'!$70:$65536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'CFS'!$68:$65536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'CFS'!$70:$65536,'CFS'!$57:$57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'EQS'!$A$1:$P$41</definedName>
    <definedName name="Z_9656BBF7_C4A3_41EC_B0C6_A21B380E3C2F_.wvu.Rows" localSheetId="3" hidden="1">'CFS'!$70:$65536,'CFS'!$57:$57</definedName>
  </definedNames>
  <calcPr fullCalcOnLoad="1"/>
</workbook>
</file>

<file path=xl/comments3.xml><?xml version="1.0" encoding="utf-8"?>
<comments xmlns="http://schemas.openxmlformats.org/spreadsheetml/2006/main">
  <authors>
    <author>Jordanka Petkova</author>
  </authors>
  <commentList>
    <comment ref="C12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минус 1 ед. от закръгления</t>
        </r>
      </text>
    </comment>
    <comment ref="C14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плюс 1 ед.за равнение</t>
        </r>
      </text>
    </comment>
  </commentList>
</comments>
</file>

<file path=xl/sharedStrings.xml><?xml version="1.0" encoding="utf-8"?>
<sst xmlns="http://schemas.openxmlformats.org/spreadsheetml/2006/main" count="242" uniqueCount="197">
  <si>
    <t>BGN'000</t>
  </si>
  <si>
    <t>Общо собствен капитал</t>
  </si>
  <si>
    <t xml:space="preserve"> </t>
  </si>
  <si>
    <t>15,16</t>
  </si>
  <si>
    <t>26 (а)</t>
  </si>
  <si>
    <t>26 (b)</t>
  </si>
  <si>
    <t>2019   BGN'000</t>
  </si>
  <si>
    <t>2018 BGN'000</t>
  </si>
  <si>
    <t>Company Name:</t>
  </si>
  <si>
    <t>SOPHARMA AD</t>
  </si>
  <si>
    <t>Board of Directors:</t>
  </si>
  <si>
    <t>Ognian Donev, PhD</t>
  </si>
  <si>
    <t>Vessela Stoeva</t>
  </si>
  <si>
    <t>Alexander Chaushev</t>
  </si>
  <si>
    <t>Ognian Palaveev</t>
  </si>
  <si>
    <t>Ivan Badinski</t>
  </si>
  <si>
    <t>Executive Director:</t>
  </si>
  <si>
    <t>Finance Director:</t>
  </si>
  <si>
    <t>Boris Borisov</t>
  </si>
  <si>
    <t>Chief Accountant:</t>
  </si>
  <si>
    <t>Yordanka Petkova</t>
  </si>
  <si>
    <t>Registered Office:</t>
  </si>
  <si>
    <t>Sofia</t>
  </si>
  <si>
    <t>16, Iliensko Shousse St.</t>
  </si>
  <si>
    <t>Lawyers:</t>
  </si>
  <si>
    <t>Adriana Baleva</t>
  </si>
  <si>
    <t>Venelin Gachev</t>
  </si>
  <si>
    <t>Ventsislav Stoev</t>
  </si>
  <si>
    <t>Boiko Botev</t>
  </si>
  <si>
    <t>Elena Golemanova</t>
  </si>
  <si>
    <t>Petar Kalpakchiev</t>
  </si>
  <si>
    <t>Servicing Banks:</t>
  </si>
  <si>
    <t>Raiffeisenbank (Bulgaria) EAD</t>
  </si>
  <si>
    <t>DSK Bank EAD</t>
  </si>
  <si>
    <t>Eurobank EFG Bulgaria AD</t>
  </si>
  <si>
    <t>ING Bank N.V.</t>
  </si>
  <si>
    <t>Unicredit AD</t>
  </si>
  <si>
    <t>Expressbank AD</t>
  </si>
  <si>
    <t>Citibank N.A.</t>
  </si>
  <si>
    <t>Cibank EAD</t>
  </si>
  <si>
    <t>Auditor:</t>
  </si>
  <si>
    <t>Baker Tilly Klitou and Partners OOD</t>
  </si>
  <si>
    <t>SEPARATE STATEMENT OF COMPREHENSIVE INCOME</t>
  </si>
  <si>
    <t>for the year ended 31 December 2019</t>
  </si>
  <si>
    <t>Notes</t>
  </si>
  <si>
    <t>Revenue</t>
  </si>
  <si>
    <t>Other operating income/(losses), net</t>
  </si>
  <si>
    <t>Raw materials and consumables used</t>
  </si>
  <si>
    <t>Hired services expense</t>
  </si>
  <si>
    <t>Employee benefits expense</t>
  </si>
  <si>
    <t>Depreciation and amortisation expense</t>
  </si>
  <si>
    <t>Other operating expenses</t>
  </si>
  <si>
    <t>Profit from operations</t>
  </si>
  <si>
    <t>Impairment of non-current assets outside the scope of IFRS 9</t>
  </si>
  <si>
    <t>Finance income</t>
  </si>
  <si>
    <t>Finance costs</t>
  </si>
  <si>
    <t>Finance income/(costs), net</t>
  </si>
  <si>
    <t>Profit before income tax</t>
  </si>
  <si>
    <t>Income tax expense</t>
  </si>
  <si>
    <t>Net profit for the year</t>
  </si>
  <si>
    <t>Other comprehensive income:</t>
  </si>
  <si>
    <t>Items that will not be reclassified to profit or loss:</t>
  </si>
  <si>
    <t>Net change in the fair value of other long-term equity investments</t>
  </si>
  <si>
    <t>Remeasurement of defined benefit pension plans liabilities/assets</t>
  </si>
  <si>
    <t xml:space="preserve">Remeasurement of property, plant and equipment </t>
  </si>
  <si>
    <t>Income tax relating to items of other comprehensive income 
that will not be reclassified</t>
  </si>
  <si>
    <t>Other comprehensive income for the year, net of tax</t>
  </si>
  <si>
    <t>TOTAL COMPREHENSIVE INCOME FOR THE YEAR</t>
  </si>
  <si>
    <t>Base net earnings per share</t>
  </si>
  <si>
    <t xml:space="preserve">Executive Director: </t>
  </si>
  <si>
    <t xml:space="preserve">Finance Director: </t>
  </si>
  <si>
    <t>Chief Accountant (preparer):</t>
  </si>
  <si>
    <t>SEPARATE STATEMENT OF FINANCIAL POSITION</t>
  </si>
  <si>
    <t>as at 31 December 2019</t>
  </si>
  <si>
    <t>31 December 2019
      BGN'000</t>
  </si>
  <si>
    <t>31 December 2018
      BGN'000</t>
  </si>
  <si>
    <t>ASSETS</t>
  </si>
  <si>
    <t>Non-current assets</t>
  </si>
  <si>
    <t>Property, plant and equipment</t>
  </si>
  <si>
    <t>Intangible assets</t>
  </si>
  <si>
    <t>Investment property</t>
  </si>
  <si>
    <t>Investments in subsidiaries</t>
  </si>
  <si>
    <t>Investments in associates</t>
  </si>
  <si>
    <t>Other long-term equity investments</t>
  </si>
  <si>
    <t>Long-term receivables from related parties</t>
  </si>
  <si>
    <t>Other long-term receivables</t>
  </si>
  <si>
    <t>Current assets</t>
  </si>
  <si>
    <t>Inventories</t>
  </si>
  <si>
    <t>Receivables from related parties</t>
  </si>
  <si>
    <t>Trade receivables</t>
  </si>
  <si>
    <t>Loans granted to third parties</t>
  </si>
  <si>
    <t>Other receivables and prepayments</t>
  </si>
  <si>
    <t>Cash and cash equivalents</t>
  </si>
  <si>
    <t>TOTAL ASSETS</t>
  </si>
  <si>
    <t>EQUITY AND LIABILITIES</t>
  </si>
  <si>
    <t>EQUITY</t>
  </si>
  <si>
    <t>Share capital</t>
  </si>
  <si>
    <t>Treasury shares</t>
  </si>
  <si>
    <t>Reserves</t>
  </si>
  <si>
    <t>Retained earnings</t>
  </si>
  <si>
    <t>LIABILITIES</t>
  </si>
  <si>
    <t>Non-current liabilities</t>
  </si>
  <si>
    <t>Long-term bank loans</t>
  </si>
  <si>
    <t>Deferred tax liabilities</t>
  </si>
  <si>
    <t>Government grants</t>
  </si>
  <si>
    <t>Lease liabilities to related parties</t>
  </si>
  <si>
    <t>Lease liabilities to third parties</t>
  </si>
  <si>
    <t>Retirement benefit obligations</t>
  </si>
  <si>
    <t>Current liabilities</t>
  </si>
  <si>
    <t>Short-term bank loans</t>
  </si>
  <si>
    <t>Current portion of long-term bank loans</t>
  </si>
  <si>
    <t>Trade payables</t>
  </si>
  <si>
    <t>Payables to related parties</t>
  </si>
  <si>
    <t>Tax payables</t>
  </si>
  <si>
    <t>Payables to personnel and for social security</t>
  </si>
  <si>
    <t>Other current liabilities</t>
  </si>
  <si>
    <t>TOTAL LIABILITIES</t>
  </si>
  <si>
    <t>TOTAL EQUITY AND LIABILITIES</t>
  </si>
  <si>
    <t xml:space="preserve">The separate financial statements on pages 1 to 148 were approved for issue by the Board of Directors and signed on 16 March 2020 by: </t>
  </si>
  <si>
    <t>SEPARATE 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</si>
  <si>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</si>
  <si>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</si>
  <si>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</si>
  <si>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</si>
  <si>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</si>
  <si>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</si>
  <si>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taxes (paid)/refunded, net</t>
  </si>
  <si>
    <t>Interest and bank charges paid on working capital loans</t>
  </si>
  <si>
    <t>Foreign currency exchange gains/(losses),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</si>
  <si>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</si>
  <si>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</si>
  <si>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</si>
  <si>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</si>
  <si>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</si>
  <si>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</si>
  <si>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Purchased of investment property</t>
  </si>
  <si>
    <t>Purchases of shares in associates</t>
  </si>
  <si>
    <t xml:space="preserve">Proceeds from sales of shares in associates </t>
  </si>
  <si>
    <t>Purchases of equity investments</t>
  </si>
  <si>
    <t>Proceeds from sales of equity investments</t>
  </si>
  <si>
    <t>Purchases of stocks/shares in subsidiaries</t>
  </si>
  <si>
    <t xml:space="preserve">Proceeds from sales of stocks/shares in subsidiaries </t>
  </si>
  <si>
    <t>Proceeds from dividends from other long-term equity investments</t>
  </si>
  <si>
    <t>Dividends received from investments in subsidiaries</t>
  </si>
  <si>
    <t>Loans granted to related parties</t>
  </si>
  <si>
    <t xml:space="preserve">Loan repayments by related parties </t>
  </si>
  <si>
    <t>Loans granted to other companies</t>
  </si>
  <si>
    <t>Loan repayments by other companies</t>
  </si>
  <si>
    <t>Interest received on granted loans</t>
  </si>
  <si>
    <t>Cash flows from financing activities</t>
  </si>
  <si>
    <t>Proceeds from long-term loans</t>
  </si>
  <si>
    <t>Repayment of long-term bank loans</t>
  </si>
  <si>
    <t>Proceeds from short-term bank loans (overdraft), net</t>
  </si>
  <si>
    <t xml:space="preserve">Interest and charges paid under investment purpose loans </t>
  </si>
  <si>
    <t xml:space="preserve">Proceeds from sales of treasury shares </t>
  </si>
  <si>
    <t>Dividends paid</t>
  </si>
  <si>
    <t>Lease payments to related parties</t>
  </si>
  <si>
    <t>Lease payments to third parties</t>
  </si>
  <si>
    <t>Government grants received</t>
  </si>
  <si>
    <t>Net cash flows from/(used in) financing activities</t>
  </si>
  <si>
    <t>Net decreased in cash and cash equivalents</t>
  </si>
  <si>
    <t>Cash and cash equivalents at 1 January</t>
  </si>
  <si>
    <t>Cash and cash equivalents at 31 December</t>
  </si>
  <si>
    <t>SEPARATE STATEMENT OF CHANGES IN EQUITY</t>
  </si>
  <si>
    <t>Share
capital</t>
  </si>
  <si>
    <t>Treasury
shares</t>
  </si>
  <si>
    <t>Statutory
reserves</t>
  </si>
  <si>
    <t>Revaluation reserve - property, plant and equipment</t>
  </si>
  <si>
    <t xml:space="preserve">Reserve of financial assets at fair value through other comprehensive income </t>
  </si>
  <si>
    <t>Additional
reserves</t>
  </si>
  <si>
    <t>Retained 
earnings</t>
  </si>
  <si>
    <t>Balance at 1 January 2018 (originally stated)</t>
  </si>
  <si>
    <t>Effects of a subsidiary merger</t>
  </si>
  <si>
    <t>Balance at 1 January 2018 (restated)</t>
  </si>
  <si>
    <t>Changes in equity for 2018</t>
  </si>
  <si>
    <t>Effects of treasury shares, including</t>
  </si>
  <si>
    <t>- share-based payments</t>
  </si>
  <si>
    <t>`- acquisition of treasury shares</t>
  </si>
  <si>
    <t>- treasury shares sold</t>
  </si>
  <si>
    <t xml:space="preserve">Distribution of profit for:               </t>
  </si>
  <si>
    <t xml:space="preserve"> - reserves</t>
  </si>
  <si>
    <t>Total comprehensive income for the year (restated), including:</t>
  </si>
  <si>
    <t xml:space="preserve">    - net profit for the year</t>
  </si>
  <si>
    <t xml:space="preserve">    - other comprehensive income, net of taxes</t>
  </si>
  <si>
    <t>Transfer to retained earnings</t>
  </si>
  <si>
    <t>Balance at 31 December 2018</t>
  </si>
  <si>
    <t>Changes in equity for 2019</t>
  </si>
  <si>
    <t>- treasury shares</t>
  </si>
  <si>
    <r>
      <t xml:space="preserve"> - </t>
    </r>
    <r>
      <rPr>
        <i/>
        <sz val="9"/>
        <rFont val="Times New Roman"/>
        <family val="1"/>
      </rPr>
      <t>6-month dividends on 2019 profit</t>
    </r>
  </si>
  <si>
    <t xml:space="preserve"> - dividends on 2017 profit</t>
  </si>
  <si>
    <t>- six-month dividends on 2018 profit</t>
  </si>
  <si>
    <t>Total comprehensive income for the year, including:</t>
  </si>
  <si>
    <t>Balance at 31 December 2019</t>
  </si>
  <si>
    <t>Changes in inventories of production and work in progress</t>
  </si>
  <si>
    <t>Net cash flows (used in) investing activities</t>
  </si>
  <si>
    <t>Effects of initial application of IFRS 16</t>
  </si>
  <si>
    <t>The accompanying notes on pages 5 to 148 form an integral part of these separate financial statements.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</si>
</sst>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u val="singleAccounting"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29" borderId="1" applyNumberFormat="0" applyAlignment="0" applyProtection="0"/>
    <xf numFmtId="0" fontId="82" fillId="0" borderId="6" applyNumberFormat="0" applyFill="0" applyAlignment="0" applyProtection="0"/>
    <xf numFmtId="0" fontId="8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4" fillId="26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6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2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69" fontId="11" fillId="0" borderId="0" xfId="66" applyNumberFormat="1" applyFont="1" applyAlignment="1">
      <alignment horizontal="right" vertical="center" wrapText="1"/>
      <protection/>
    </xf>
    <xf numFmtId="0" fontId="28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7" fillId="0" borderId="0" xfId="65" applyFont="1" applyAlignment="1" quotePrefix="1">
      <alignment horizontal="left" vertical="center"/>
      <protection/>
    </xf>
    <xf numFmtId="0" fontId="29" fillId="0" borderId="0" xfId="60" applyFont="1" applyAlignment="1">
      <alignment horizontal="center"/>
      <protection/>
    </xf>
    <xf numFmtId="169" fontId="8" fillId="0" borderId="0" xfId="60" applyNumberFormat="1" applyFont="1" applyAlignment="1">
      <alignment horizontal="right"/>
      <protection/>
    </xf>
    <xf numFmtId="0" fontId="30" fillId="0" borderId="0" xfId="60" applyFont="1" applyAlignment="1">
      <alignment vertical="top" wrapText="1"/>
      <protection/>
    </xf>
    <xf numFmtId="0" fontId="29" fillId="0" borderId="0" xfId="60" applyFont="1" applyAlignment="1">
      <alignment horizontal="center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59" applyNumberFormat="1" applyFont="1" applyAlignment="1">
      <alignment horizontal="center" vertical="center" wrapText="1"/>
      <protection/>
    </xf>
    <xf numFmtId="169" fontId="5" fillId="0" borderId="0" xfId="60" applyNumberFormat="1" applyFont="1" applyAlignment="1">
      <alignment horizontal="right"/>
      <protection/>
    </xf>
    <xf numFmtId="16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69" fontId="8" fillId="0" borderId="0" xfId="63" applyNumberFormat="1" applyFont="1" applyAlignment="1">
      <alignment horizontal="right"/>
      <protection/>
    </xf>
    <xf numFmtId="169" fontId="9" fillId="0" borderId="11" xfId="63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/>
    </xf>
    <xf numFmtId="209" fontId="1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169" fontId="36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3" fontId="29" fillId="0" borderId="0" xfId="60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/>
    </xf>
    <xf numFmtId="169" fontId="41" fillId="0" borderId="0" xfId="0" applyNumberFormat="1" applyFont="1" applyAlignment="1">
      <alignment horizontal="left" vertical="center"/>
    </xf>
    <xf numFmtId="169" fontId="44" fillId="0" borderId="0" xfId="0" applyNumberFormat="1" applyFont="1" applyAlignment="1">
      <alignment horizontal="center"/>
    </xf>
    <xf numFmtId="169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7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69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69" fontId="29" fillId="0" borderId="0" xfId="60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0" applyFont="1" applyAlignment="1">
      <alignment/>
    </xf>
    <xf numFmtId="213" fontId="8" fillId="0" borderId="0" xfId="0" applyNumberFormat="1" applyFont="1" applyAlignment="1">
      <alignment/>
    </xf>
    <xf numFmtId="17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5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26" fillId="0" borderId="0" xfId="61" applyNumberFormat="1" applyFont="1" applyAlignment="1">
      <alignment horizontal="center" vertical="center" wrapText="1"/>
      <protection/>
    </xf>
    <xf numFmtId="169" fontId="26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/>
    </xf>
    <xf numFmtId="169" fontId="8" fillId="0" borderId="10" xfId="0" applyNumberFormat="1" applyFont="1" applyBorder="1" applyAlignment="1">
      <alignment horizontal="right"/>
    </xf>
    <xf numFmtId="169" fontId="39" fillId="0" borderId="0" xfId="42" applyNumberFormat="1" applyFont="1" applyAlignment="1">
      <alignment/>
    </xf>
    <xf numFmtId="169" fontId="8" fillId="0" borderId="0" xfId="42" applyNumberFormat="1" applyFont="1" applyAlignment="1">
      <alignment/>
    </xf>
    <xf numFmtId="169" fontId="37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right"/>
    </xf>
    <xf numFmtId="169" fontId="9" fillId="0" borderId="11" xfId="42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69" fontId="8" fillId="0" borderId="0" xfId="63" applyNumberFormat="1" applyFont="1" applyAlignment="1">
      <alignment horizontal="center"/>
      <protection/>
    </xf>
    <xf numFmtId="0" fontId="31" fillId="0" borderId="0" xfId="61" applyFont="1" applyAlignment="1">
      <alignment horizontal="right" vertical="top" wrapText="1"/>
      <protection/>
    </xf>
    <xf numFmtId="0" fontId="31" fillId="0" borderId="0" xfId="61" applyFont="1" applyAlignment="1">
      <alignment horizontal="center" vertical="top" wrapText="1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7" fillId="0" borderId="0" xfId="61" applyFont="1">
      <alignment/>
      <protection/>
    </xf>
    <xf numFmtId="0" fontId="31" fillId="0" borderId="0" xfId="0" applyFont="1" applyAlignment="1">
      <alignment horizontal="right"/>
    </xf>
    <xf numFmtId="0" fontId="47" fillId="0" borderId="0" xfId="0" applyFont="1" applyAlignment="1">
      <alignment/>
    </xf>
    <xf numFmtId="0" fontId="31" fillId="0" borderId="0" xfId="61" applyFont="1" applyAlignment="1">
      <alignment vertical="center" wrapText="1"/>
      <protection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 wrapText="1"/>
      <protection/>
    </xf>
    <xf numFmtId="203" fontId="47" fillId="0" borderId="0" xfId="61" applyNumberFormat="1" applyFont="1" applyAlignment="1">
      <alignment vertical="center"/>
      <protection/>
    </xf>
    <xf numFmtId="203" fontId="47" fillId="0" borderId="0" xfId="0" applyNumberFormat="1" applyFont="1" applyAlignment="1">
      <alignment/>
    </xf>
    <xf numFmtId="169" fontId="47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69" fontId="48" fillId="0" borderId="0" xfId="0" applyNumberFormat="1" applyFont="1" applyAlignment="1">
      <alignment/>
    </xf>
    <xf numFmtId="0" fontId="47" fillId="0" borderId="0" xfId="61" applyFont="1" applyAlignment="1">
      <alignment vertical="center"/>
      <protection/>
    </xf>
    <xf numFmtId="0" fontId="48" fillId="0" borderId="0" xfId="61" applyFont="1" applyAlignment="1">
      <alignment vertical="center"/>
      <protection/>
    </xf>
    <xf numFmtId="0" fontId="31" fillId="0" borderId="0" xfId="61" applyFont="1" applyAlignment="1">
      <alignment vertical="center"/>
      <protection/>
    </xf>
    <xf numFmtId="203" fontId="31" fillId="0" borderId="13" xfId="0" applyNumberFormat="1" applyFont="1" applyBorder="1" applyAlignment="1">
      <alignment horizontal="center"/>
    </xf>
    <xf numFmtId="203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2" fillId="0" borderId="0" xfId="61" applyNumberFormat="1" applyFont="1" applyAlignment="1">
      <alignment vertical="center"/>
      <protection/>
    </xf>
    <xf numFmtId="0" fontId="49" fillId="0" borderId="0" xfId="61" applyFont="1" applyAlignment="1">
      <alignment vertical="top"/>
      <protection/>
    </xf>
    <xf numFmtId="0" fontId="47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169" fontId="5" fillId="0" borderId="0" xfId="0" applyNumberFormat="1" applyFont="1" applyAlignment="1">
      <alignment horizontal="right" vertical="top" wrapText="1"/>
    </xf>
    <xf numFmtId="169" fontId="53" fillId="0" borderId="0" xfId="61" applyNumberFormat="1" applyFont="1" applyAlignment="1">
      <alignment horizontal="right" vertical="center" wrapText="1"/>
      <protection/>
    </xf>
    <xf numFmtId="0" fontId="47" fillId="0" borderId="0" xfId="61" applyFont="1" applyAlignment="1" quotePrefix="1">
      <alignment vertical="center" wrapText="1"/>
      <protection/>
    </xf>
    <xf numFmtId="0" fontId="47" fillId="0" borderId="0" xfId="62" applyFont="1" applyAlignment="1">
      <alignment horizontal="center" vertical="center" wrapText="1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169" fontId="16" fillId="0" borderId="0" xfId="0" applyNumberFormat="1" applyFont="1" applyAlignment="1">
      <alignment horizontal="right" vertical="top" wrapText="1"/>
    </xf>
    <xf numFmtId="0" fontId="49" fillId="0" borderId="0" xfId="62" applyFont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203" fontId="31" fillId="0" borderId="10" xfId="0" applyNumberFormat="1" applyFont="1" applyBorder="1" applyAlignment="1">
      <alignment horizontal="center"/>
    </xf>
    <xf numFmtId="203" fontId="54" fillId="0" borderId="0" xfId="0" applyNumberFormat="1" applyFont="1" applyAlignment="1">
      <alignment horizontal="center"/>
    </xf>
    <xf numFmtId="203" fontId="47" fillId="0" borderId="0" xfId="44" applyNumberFormat="1" applyFont="1" applyAlignment="1">
      <alignment horizontal="center"/>
    </xf>
    <xf numFmtId="203" fontId="47" fillId="0" borderId="0" xfId="44" applyNumberFormat="1" applyFont="1" applyAlignment="1">
      <alignment/>
    </xf>
    <xf numFmtId="203" fontId="31" fillId="0" borderId="13" xfId="44" applyNumberFormat="1" applyFont="1" applyBorder="1" applyAlignment="1">
      <alignment horizontal="center"/>
    </xf>
    <xf numFmtId="203" fontId="31" fillId="0" borderId="0" xfId="44" applyNumberFormat="1" applyFont="1" applyAlignment="1">
      <alignment horizontal="center"/>
    </xf>
    <xf numFmtId="203" fontId="31" fillId="0" borderId="0" xfId="44" applyNumberFormat="1" applyFont="1" applyAlignment="1">
      <alignment/>
    </xf>
    <xf numFmtId="203" fontId="47" fillId="0" borderId="0" xfId="44" applyNumberFormat="1" applyFont="1" applyAlignment="1">
      <alignment horizontal="center" vertical="center"/>
    </xf>
    <xf numFmtId="171" fontId="47" fillId="0" borderId="0" xfId="44" applyFont="1" applyAlignment="1">
      <alignment horizontal="right"/>
    </xf>
    <xf numFmtId="3" fontId="47" fillId="0" borderId="0" xfId="44" applyNumberFormat="1" applyFont="1" applyAlignment="1">
      <alignment horizontal="right"/>
    </xf>
    <xf numFmtId="171" fontId="47" fillId="0" borderId="0" xfId="44" applyFont="1" applyAlignment="1">
      <alignment/>
    </xf>
    <xf numFmtId="169" fontId="47" fillId="0" borderId="0" xfId="44" applyNumberFormat="1" applyFont="1" applyAlignment="1">
      <alignment/>
    </xf>
    <xf numFmtId="203" fontId="48" fillId="0" borderId="0" xfId="44" applyNumberFormat="1" applyFont="1" applyAlignment="1">
      <alignment horizontal="right" vertical="center"/>
    </xf>
    <xf numFmtId="203" fontId="47" fillId="0" borderId="10" xfId="44" applyNumberFormat="1" applyFont="1" applyBorder="1" applyAlignment="1">
      <alignment horizontal="right" vertical="center"/>
    </xf>
    <xf numFmtId="169" fontId="47" fillId="0" borderId="10" xfId="44" applyNumberFormat="1" applyFont="1" applyBorder="1" applyAlignment="1">
      <alignment horizontal="right"/>
    </xf>
    <xf numFmtId="203" fontId="47" fillId="0" borderId="0" xfId="44" applyNumberFormat="1" applyFont="1" applyAlignment="1">
      <alignment horizontal="right" vertical="center"/>
    </xf>
    <xf numFmtId="169" fontId="47" fillId="0" borderId="0" xfId="44" applyNumberFormat="1" applyFont="1" applyAlignment="1">
      <alignment horizontal="right"/>
    </xf>
    <xf numFmtId="203" fontId="31" fillId="0" borderId="10" xfId="44" applyNumberFormat="1" applyFont="1" applyBorder="1" applyAlignment="1">
      <alignment horizontal="right" vertical="center"/>
    </xf>
    <xf numFmtId="203" fontId="31" fillId="0" borderId="0" xfId="44" applyNumberFormat="1" applyFont="1" applyAlignment="1">
      <alignment horizontal="right" vertical="center"/>
    </xf>
    <xf numFmtId="203" fontId="51" fillId="0" borderId="0" xfId="44" applyNumberFormat="1" applyFont="1" applyAlignment="1">
      <alignment horizontal="right" vertical="center"/>
    </xf>
    <xf numFmtId="171" fontId="47" fillId="0" borderId="10" xfId="44" applyFont="1" applyBorder="1" applyAlignment="1">
      <alignment horizontal="right"/>
    </xf>
    <xf numFmtId="203" fontId="47" fillId="0" borderId="10" xfId="0" applyNumberFormat="1" applyFont="1" applyBorder="1" applyAlignment="1">
      <alignment horizontal="center"/>
    </xf>
    <xf numFmtId="169" fontId="48" fillId="0" borderId="0" xfId="44" applyNumberFormat="1" applyFont="1" applyAlignment="1">
      <alignment horizontal="right"/>
    </xf>
    <xf numFmtId="171" fontId="47" fillId="0" borderId="0" xfId="44" applyFont="1" applyAlignment="1">
      <alignment horizontal="center"/>
    </xf>
    <xf numFmtId="203" fontId="48" fillId="0" borderId="0" xfId="44" applyNumberFormat="1" applyFont="1" applyAlignment="1">
      <alignment horizontal="right" vertical="center"/>
    </xf>
    <xf numFmtId="0" fontId="48" fillId="0" borderId="0" xfId="0" applyFont="1" applyAlignment="1">
      <alignment/>
    </xf>
    <xf numFmtId="171" fontId="31" fillId="0" borderId="10" xfId="44" applyFont="1" applyBorder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169" fontId="31" fillId="0" borderId="10" xfId="44" applyNumberFormat="1" applyFont="1" applyBorder="1" applyAlignment="1">
      <alignment horizontal="right"/>
    </xf>
    <xf numFmtId="3" fontId="31" fillId="0" borderId="10" xfId="44" applyNumberFormat="1" applyFont="1" applyBorder="1" applyAlignment="1">
      <alignment horizontal="right"/>
    </xf>
    <xf numFmtId="203" fontId="9" fillId="0" borderId="0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69" fontId="9" fillId="0" borderId="0" xfId="42" applyNumberFormat="1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6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6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69" fontId="36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3" fontId="23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69" fontId="53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71" fontId="5" fillId="0" borderId="0" xfId="0" applyNumberFormat="1" applyFont="1" applyAlignment="1">
      <alignment horizontal="center"/>
    </xf>
    <xf numFmtId="169" fontId="8" fillId="0" borderId="10" xfId="0" applyNumberFormat="1" applyFont="1" applyFill="1" applyBorder="1" applyAlignment="1">
      <alignment horizontal="right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6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69" fontId="9" fillId="0" borderId="0" xfId="42" applyNumberFormat="1" applyFont="1" applyAlignment="1">
      <alignment/>
    </xf>
    <xf numFmtId="169" fontId="8" fillId="0" borderId="0" xfId="42" applyNumberFormat="1" applyFont="1" applyAlignment="1">
      <alignment/>
    </xf>
    <xf numFmtId="169" fontId="8" fillId="0" borderId="0" xfId="0" applyNumberFormat="1" applyFont="1" applyAlignment="1">
      <alignment horizontal="right"/>
    </xf>
    <xf numFmtId="169" fontId="8" fillId="0" borderId="1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center"/>
    </xf>
    <xf numFmtId="16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171" fontId="31" fillId="0" borderId="0" xfId="44" applyFont="1" applyBorder="1" applyAlignment="1">
      <alignment horizontal="right"/>
    </xf>
    <xf numFmtId="0" fontId="50" fillId="0" borderId="0" xfId="0" applyFont="1" applyBorder="1" applyAlignment="1">
      <alignment horizontal="center" vertical="center" wrapText="1"/>
    </xf>
    <xf numFmtId="0" fontId="47" fillId="0" borderId="0" xfId="61" applyFont="1" applyBorder="1" applyAlignment="1">
      <alignment vertical="top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0" fontId="19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59" applyFont="1" applyFill="1" applyBorder="1" applyAlignment="1">
      <alignment horizontal="left"/>
      <protection/>
    </xf>
    <xf numFmtId="0" fontId="10" fillId="0" borderId="0" xfId="59" applyFont="1" applyFill="1" applyBorder="1" applyAlignment="1">
      <alignment horizontal="right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Alignment="1">
      <alignment vertical="center" wrapText="1"/>
      <protection/>
    </xf>
    <xf numFmtId="0" fontId="1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59" applyFont="1" applyFill="1" applyAlignment="1">
      <alignment horizontal="left" vertical="center"/>
      <protection/>
    </xf>
    <xf numFmtId="0" fontId="8" fillId="0" borderId="0" xfId="59" applyFont="1" applyFill="1" applyAlignment="1">
      <alignment horizontal="left" vertical="center" wrapText="1"/>
      <protection/>
    </xf>
    <xf numFmtId="0" fontId="28" fillId="0" borderId="0" xfId="60" applyFont="1" applyFill="1" applyBorder="1" applyAlignment="1">
      <alignment vertical="top" wrapText="1"/>
      <protection/>
    </xf>
    <xf numFmtId="0" fontId="30" fillId="0" borderId="0" xfId="60" applyFont="1" applyFill="1" applyBorder="1" applyAlignment="1">
      <alignment vertical="top" wrapText="1"/>
      <protection/>
    </xf>
    <xf numFmtId="0" fontId="28" fillId="0" borderId="0" xfId="60" applyFont="1" applyFill="1" applyBorder="1" applyAlignment="1">
      <alignment vertical="top"/>
      <protection/>
    </xf>
    <xf numFmtId="0" fontId="30" fillId="0" borderId="0" xfId="60" applyFont="1" applyFill="1" applyBorder="1" applyAlignment="1">
      <alignment vertical="top"/>
      <protection/>
    </xf>
    <xf numFmtId="0" fontId="30" fillId="0" borderId="0" xfId="60" applyFont="1" applyFill="1" applyAlignment="1">
      <alignment vertical="top" wrapText="1"/>
      <protection/>
    </xf>
    <xf numFmtId="0" fontId="5" fillId="0" borderId="0" xfId="60" applyFont="1" applyFill="1" applyBorder="1" applyAlignment="1">
      <alignment vertical="top" wrapText="1"/>
      <protection/>
    </xf>
    <xf numFmtId="0" fontId="5" fillId="0" borderId="0" xfId="60" applyFont="1" applyFill="1" applyBorder="1">
      <alignment/>
      <protection/>
    </xf>
    <xf numFmtId="0" fontId="16" fillId="0" borderId="0" xfId="60" applyFont="1" applyFill="1" applyBorder="1">
      <alignment/>
      <protection/>
    </xf>
    <xf numFmtId="0" fontId="31" fillId="0" borderId="0" xfId="61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Border="1" applyAlignment="1">
      <alignment horizontal="center" vertical="top"/>
    </xf>
    <xf numFmtId="0" fontId="31" fillId="0" borderId="0" xfId="61" applyNumberFormat="1" applyFont="1" applyFill="1" applyBorder="1" applyAlignment="1" applyProtection="1">
      <alignment vertical="center" wrapText="1"/>
      <protection/>
    </xf>
    <xf numFmtId="0" fontId="47" fillId="0" borderId="0" xfId="61" applyNumberFormat="1" applyFont="1" applyFill="1" applyBorder="1" applyAlignment="1" applyProtection="1">
      <alignment vertical="center" wrapText="1"/>
      <protection/>
    </xf>
    <xf numFmtId="0" fontId="47" fillId="0" borderId="0" xfId="61" applyFont="1" applyFill="1" applyAlignment="1">
      <alignment vertical="center" wrapText="1"/>
      <protection/>
    </xf>
    <xf numFmtId="0" fontId="47" fillId="0" borderId="0" xfId="62" applyFont="1" applyFill="1" applyAlignment="1" quotePrefix="1">
      <alignment vertical="center" wrapText="1"/>
      <protection/>
    </xf>
    <xf numFmtId="0" fontId="48" fillId="0" borderId="0" xfId="0" applyFont="1" applyFill="1" applyAlignment="1">
      <alignment vertical="top"/>
    </xf>
    <xf numFmtId="0" fontId="48" fillId="0" borderId="0" xfId="0" applyFont="1" applyAlignment="1" quotePrefix="1">
      <alignment vertical="top"/>
    </xf>
    <xf numFmtId="0" fontId="31" fillId="0" borderId="0" xfId="0" applyNumberFormat="1" applyFont="1" applyFill="1" applyBorder="1" applyAlignment="1" applyProtection="1">
      <alignment vertical="top"/>
      <protection/>
    </xf>
    <xf numFmtId="0" fontId="48" fillId="0" borderId="0" xfId="62" applyFont="1" applyFill="1" applyAlignment="1">
      <alignment vertical="center" wrapText="1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47" fillId="0" borderId="0" xfId="61" applyNumberFormat="1" applyFont="1" applyFill="1" applyBorder="1" applyAlignment="1" applyProtection="1">
      <alignment vertical="center" wrapText="1"/>
      <protection/>
    </xf>
    <xf numFmtId="0" fontId="47" fillId="0" borderId="0" xfId="61" applyFont="1" applyFill="1" applyAlignment="1" quotePrefix="1">
      <alignment vertical="center" wrapText="1"/>
      <protection/>
    </xf>
    <xf numFmtId="0" fontId="31" fillId="0" borderId="0" xfId="58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61" applyNumberFormat="1" applyFont="1" applyFill="1" applyBorder="1" applyAlignment="1" applyProtection="1">
      <alignment vertical="top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31" fillId="0" borderId="0" xfId="0" applyFont="1" applyFill="1" applyAlignment="1">
      <alignment horizontal="center" vertical="top"/>
    </xf>
    <xf numFmtId="169" fontId="16" fillId="0" borderId="0" xfId="0" applyNumberFormat="1" applyFont="1" applyAlignment="1">
      <alignment horizontal="right" vertical="top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169" fontId="5" fillId="0" borderId="0" xfId="0" applyNumberFormat="1" applyFont="1" applyAlignment="1">
      <alignment horizontal="right" vertical="top" wrapText="1"/>
    </xf>
    <xf numFmtId="0" fontId="31" fillId="0" borderId="0" xfId="0" applyFont="1" applyAlignment="1">
      <alignment horizontal="center" vertical="top"/>
    </xf>
    <xf numFmtId="0" fontId="18" fillId="0" borderId="0" xfId="0" applyFont="1" applyAlignment="1">
      <alignment horizontal="left" vertical="center" wrapText="1"/>
    </xf>
    <xf numFmtId="15" fontId="34" fillId="0" borderId="0" xfId="59" applyNumberFormat="1" applyFont="1" applyAlignment="1">
      <alignment horizontal="right" vertical="center" wrapText="1"/>
      <protection/>
    </xf>
    <xf numFmtId="0" fontId="9" fillId="0" borderId="10" xfId="59" applyFont="1" applyFill="1" applyBorder="1" applyAlignment="1">
      <alignment horizontal="left" vertical="center"/>
      <protection/>
    </xf>
    <xf numFmtId="0" fontId="0" fillId="0" borderId="10" xfId="66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49" fillId="0" borderId="0" xfId="62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1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203" fontId="31" fillId="0" borderId="0" xfId="44" applyNumberFormat="1" applyFont="1" applyFill="1" applyBorder="1" applyAlignment="1" applyProtection="1">
      <alignment horizontal="right" vertical="top" wrapText="1"/>
      <protection/>
    </xf>
    <xf numFmtId="203" fontId="31" fillId="0" borderId="0" xfId="44" applyNumberFormat="1" applyFont="1" applyFill="1" applyBorder="1" applyAlignment="1">
      <alignment horizontal="right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12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Users\ktrifonova\Documents\FROM%20PETYA\Clients%20Season'16-17\Sopharma%20AD\Final%20Sent\A%20301_FS%20SOPHARMA%2031.12.%202016_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4"/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.риск - нотка"/>
      <sheetName val="42.2-кр. риск - засеч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"/>
      <sheetName val="44-сделки свързани лица"/>
      <sheetName val="45"/>
      <sheetName val="45.1"/>
    </sheetNames>
    <sheetDataSet>
      <sheetData sheetId="54">
        <row r="10">
          <cell r="D10">
            <v>0.3207555028949417</v>
          </cell>
          <cell r="F10">
            <v>0.2646924206186254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0">
        <row r="1">
          <cell r="D1" t="str">
            <v>SOPHARMA 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9"/>
  <sheetViews>
    <sheetView zoomScale="110" zoomScaleNormal="110" zoomScalePageLayoutView="0" workbookViewId="0" topLeftCell="A16">
      <selection activeCell="F33" sqref="F33"/>
    </sheetView>
  </sheetViews>
  <sheetFormatPr defaultColWidth="0" defaultRowHeight="12.75" customHeight="1" zeroHeight="1"/>
  <cols>
    <col min="1" max="2" width="9.28125" style="24" customWidth="1"/>
    <col min="3" max="3" width="15.7109375" style="24" customWidth="1"/>
    <col min="4" max="9" width="9.28125" style="24" customWidth="1"/>
    <col min="10" max="16384" width="9.28125" style="24" hidden="1" customWidth="1"/>
  </cols>
  <sheetData>
    <row r="1" spans="1:8" ht="17.25">
      <c r="A1" s="22" t="s">
        <v>8</v>
      </c>
      <c r="B1" s="23"/>
      <c r="C1" s="23"/>
      <c r="D1" s="28" t="s">
        <v>9</v>
      </c>
      <c r="E1" s="23"/>
      <c r="F1" s="23"/>
      <c r="G1" s="23"/>
      <c r="H1" s="23"/>
    </row>
    <row r="2" ht="12.75"/>
    <row r="3" ht="12.75"/>
    <row r="4" ht="12.75"/>
    <row r="5" spans="1:9" ht="17.25">
      <c r="A5" s="25" t="s">
        <v>10</v>
      </c>
      <c r="D5" s="267" t="s">
        <v>11</v>
      </c>
      <c r="E5" s="50"/>
      <c r="F5" s="26"/>
      <c r="G5" s="26"/>
      <c r="H5" s="26"/>
      <c r="I5" s="26"/>
    </row>
    <row r="6" spans="1:9" ht="17.25" customHeight="1">
      <c r="A6" s="25"/>
      <c r="D6" s="267" t="s">
        <v>12</v>
      </c>
      <c r="E6" s="50"/>
      <c r="F6" s="26"/>
      <c r="G6" s="26"/>
      <c r="H6" s="26"/>
      <c r="I6" s="26"/>
    </row>
    <row r="7" spans="1:9" ht="17.25">
      <c r="A7" s="25"/>
      <c r="D7" s="267" t="s">
        <v>13</v>
      </c>
      <c r="E7" s="50"/>
      <c r="F7" s="26"/>
      <c r="G7" s="26"/>
      <c r="H7" s="26"/>
      <c r="I7" s="26"/>
    </row>
    <row r="8" spans="1:9" ht="17.25">
      <c r="A8" s="25"/>
      <c r="D8" s="267" t="s">
        <v>14</v>
      </c>
      <c r="E8" s="50"/>
      <c r="F8" s="26"/>
      <c r="G8" s="26"/>
      <c r="H8" s="26"/>
      <c r="I8" s="26"/>
    </row>
    <row r="9" spans="1:9" ht="16.5">
      <c r="A9" s="27"/>
      <c r="D9" s="15" t="s">
        <v>15</v>
      </c>
      <c r="E9" s="50"/>
      <c r="F9" s="27"/>
      <c r="G9" s="26"/>
      <c r="H9" s="26"/>
      <c r="I9" s="26"/>
    </row>
    <row r="10" spans="1:9" ht="17.25">
      <c r="A10" s="25"/>
      <c r="D10" s="26"/>
      <c r="E10" s="26"/>
      <c r="F10" s="26"/>
      <c r="G10" s="26"/>
      <c r="H10" s="26"/>
      <c r="I10" s="26"/>
    </row>
    <row r="11" spans="1:9" ht="17.25">
      <c r="A11" s="25"/>
      <c r="D11" s="15"/>
      <c r="E11" s="15"/>
      <c r="F11" s="15"/>
      <c r="G11" s="26"/>
      <c r="H11" s="26"/>
      <c r="I11" s="26"/>
    </row>
    <row r="12" spans="1:7" ht="18">
      <c r="A12" s="25" t="s">
        <v>16</v>
      </c>
      <c r="D12" s="15" t="s">
        <v>11</v>
      </c>
      <c r="E12" s="47"/>
      <c r="F12" s="47"/>
      <c r="G12" s="48"/>
    </row>
    <row r="13" spans="4:9" ht="16.5">
      <c r="D13" s="15"/>
      <c r="E13" s="47"/>
      <c r="F13" s="47"/>
      <c r="G13" s="50"/>
      <c r="H13" s="26"/>
      <c r="I13" s="26"/>
    </row>
    <row r="14" spans="4:9" ht="16.5">
      <c r="D14" s="15"/>
      <c r="E14" s="47"/>
      <c r="F14" s="47"/>
      <c r="G14" s="50"/>
      <c r="H14" s="26"/>
      <c r="I14" s="26"/>
    </row>
    <row r="15" spans="1:9" ht="17.25">
      <c r="A15" s="25" t="s">
        <v>17</v>
      </c>
      <c r="D15" s="15" t="s">
        <v>18</v>
      </c>
      <c r="E15" s="47"/>
      <c r="F15" s="47"/>
      <c r="G15" s="50"/>
      <c r="H15" s="26"/>
      <c r="I15" s="26"/>
    </row>
    <row r="16" spans="1:9" ht="17.25">
      <c r="A16" s="25"/>
      <c r="D16" s="15"/>
      <c r="E16" s="47"/>
      <c r="F16" s="47"/>
      <c r="G16" s="50"/>
      <c r="H16" s="26"/>
      <c r="I16" s="26"/>
    </row>
    <row r="17" spans="1:9" ht="17.25">
      <c r="A17" s="25"/>
      <c r="D17" s="15"/>
      <c r="E17" s="47"/>
      <c r="F17" s="47"/>
      <c r="G17" s="50"/>
      <c r="H17" s="26"/>
      <c r="I17" s="26"/>
    </row>
    <row r="18" spans="1:9" ht="17.25">
      <c r="A18" s="25" t="s">
        <v>19</v>
      </c>
      <c r="B18" s="25"/>
      <c r="C18" s="25"/>
      <c r="D18" s="15" t="s">
        <v>20</v>
      </c>
      <c r="E18" s="47"/>
      <c r="F18" s="47"/>
      <c r="G18" s="50"/>
      <c r="H18" s="26"/>
      <c r="I18" s="26"/>
    </row>
    <row r="19" spans="1:9" ht="17.25">
      <c r="A19" s="25"/>
      <c r="B19" s="25"/>
      <c r="C19" s="25"/>
      <c r="D19" s="15"/>
      <c r="E19" s="47"/>
      <c r="F19" s="47"/>
      <c r="G19" s="50"/>
      <c r="H19" s="26"/>
      <c r="I19" s="26"/>
    </row>
    <row r="20" spans="1:9" ht="18">
      <c r="A20" s="25"/>
      <c r="D20" s="15"/>
      <c r="E20" s="47"/>
      <c r="F20" s="47"/>
      <c r="G20" s="48"/>
      <c r="H20" s="25"/>
      <c r="I20" s="25"/>
    </row>
    <row r="21" spans="1:7" ht="18">
      <c r="A21" s="25" t="s">
        <v>21</v>
      </c>
      <c r="D21" s="15" t="s">
        <v>22</v>
      </c>
      <c r="E21" s="47"/>
      <c r="F21" s="47"/>
      <c r="G21" s="48"/>
    </row>
    <row r="22" spans="1:7" ht="18">
      <c r="A22" s="25"/>
      <c r="D22" s="15" t="s">
        <v>23</v>
      </c>
      <c r="E22" s="47"/>
      <c r="F22" s="47"/>
      <c r="G22" s="48"/>
    </row>
    <row r="23" spans="1:7" ht="18">
      <c r="A23" s="25"/>
      <c r="D23" s="26"/>
      <c r="E23" s="50"/>
      <c r="F23" s="50"/>
      <c r="G23" s="48"/>
    </row>
    <row r="24" spans="1:7" ht="18">
      <c r="A24" s="25"/>
      <c r="D24" s="15"/>
      <c r="E24" s="48"/>
      <c r="F24" s="48"/>
      <c r="G24" s="48"/>
    </row>
    <row r="25" spans="1:7" ht="18">
      <c r="A25" s="25" t="s">
        <v>24</v>
      </c>
      <c r="C25" s="55"/>
      <c r="D25" s="267" t="s">
        <v>25</v>
      </c>
      <c r="E25" s="47"/>
      <c r="F25" s="48"/>
      <c r="G25" s="48"/>
    </row>
    <row r="26" spans="1:7" ht="18">
      <c r="A26" s="25"/>
      <c r="C26" s="55"/>
      <c r="D26" s="267" t="s">
        <v>26</v>
      </c>
      <c r="E26" s="47"/>
      <c r="F26" s="48"/>
      <c r="G26" s="51"/>
    </row>
    <row r="27" spans="1:7" ht="18">
      <c r="A27" s="25"/>
      <c r="C27" s="55"/>
      <c r="D27" s="267" t="s">
        <v>27</v>
      </c>
      <c r="E27" s="47"/>
      <c r="F27" s="48"/>
      <c r="G27" s="51"/>
    </row>
    <row r="28" spans="1:7" ht="18">
      <c r="A28" s="25"/>
      <c r="C28" s="55"/>
      <c r="D28" s="267" t="s">
        <v>28</v>
      </c>
      <c r="E28" s="47"/>
      <c r="F28" s="48"/>
      <c r="G28" s="51"/>
    </row>
    <row r="29" spans="1:7" ht="17.25">
      <c r="A29" s="25"/>
      <c r="D29" s="15" t="s">
        <v>29</v>
      </c>
      <c r="E29" s="51"/>
      <c r="F29" s="51"/>
      <c r="G29" s="51"/>
    </row>
    <row r="30" spans="1:7" ht="18">
      <c r="A30" s="25"/>
      <c r="C30" s="26"/>
      <c r="D30" s="267" t="s">
        <v>30</v>
      </c>
      <c r="E30" s="50"/>
      <c r="F30" s="48"/>
      <c r="G30" s="51"/>
    </row>
    <row r="31" spans="1:7" ht="18">
      <c r="A31" s="25"/>
      <c r="D31" s="15"/>
      <c r="E31" s="51"/>
      <c r="F31" s="48"/>
      <c r="G31" s="51"/>
    </row>
    <row r="32" spans="1:9" ht="17.25">
      <c r="A32" s="25" t="s">
        <v>31</v>
      </c>
      <c r="D32" s="267" t="s">
        <v>32</v>
      </c>
      <c r="E32" s="268"/>
      <c r="F32" s="268"/>
      <c r="G32" s="268"/>
      <c r="H32" s="25"/>
      <c r="I32" s="25"/>
    </row>
    <row r="33" spans="1:9" ht="17.25">
      <c r="A33" s="25"/>
      <c r="D33" s="267" t="s">
        <v>33</v>
      </c>
      <c r="E33" s="268"/>
      <c r="F33" s="268"/>
      <c r="G33" s="268"/>
      <c r="H33" s="25"/>
      <c r="I33" s="25"/>
    </row>
    <row r="34" spans="1:7" ht="17.25">
      <c r="A34" s="25"/>
      <c r="D34" s="267" t="s">
        <v>34</v>
      </c>
      <c r="E34" s="268"/>
      <c r="F34" s="268"/>
      <c r="G34" s="268"/>
    </row>
    <row r="35" spans="1:7" ht="17.25">
      <c r="A35" s="25"/>
      <c r="D35" s="267" t="s">
        <v>35</v>
      </c>
      <c r="E35" s="268"/>
      <c r="F35" s="268"/>
      <c r="G35" s="268"/>
    </row>
    <row r="36" spans="1:7" ht="17.25">
      <c r="A36" s="25"/>
      <c r="D36" s="267" t="s">
        <v>36</v>
      </c>
      <c r="E36" s="268"/>
      <c r="F36" s="268"/>
      <c r="G36" s="268"/>
    </row>
    <row r="37" spans="1:7" ht="17.25">
      <c r="A37" s="25"/>
      <c r="D37" s="15" t="s">
        <v>37</v>
      </c>
      <c r="E37" s="47"/>
      <c r="F37" s="47"/>
      <c r="G37" s="47"/>
    </row>
    <row r="38" spans="1:7" ht="17.25">
      <c r="A38" s="25"/>
      <c r="D38" s="267" t="s">
        <v>38</v>
      </c>
      <c r="E38" s="47"/>
      <c r="F38" s="47"/>
      <c r="G38" s="47"/>
    </row>
    <row r="39" spans="1:7" ht="17.25">
      <c r="A39" s="25"/>
      <c r="D39" s="267" t="s">
        <v>39</v>
      </c>
      <c r="E39" s="47"/>
      <c r="F39" s="47"/>
      <c r="G39" s="47"/>
    </row>
    <row r="40" spans="1:7" ht="18">
      <c r="A40" s="25"/>
      <c r="D40" s="15"/>
      <c r="E40" s="51"/>
      <c r="F40" s="48"/>
      <c r="G40" s="51"/>
    </row>
    <row r="41" spans="1:7" ht="17.25">
      <c r="A41" s="25" t="s">
        <v>40</v>
      </c>
      <c r="D41" s="267" t="s">
        <v>41</v>
      </c>
      <c r="E41" s="137"/>
      <c r="F41" s="51"/>
      <c r="G41" s="269"/>
    </row>
    <row r="42" spans="1:7" ht="18">
      <c r="A42" s="25"/>
      <c r="E42" s="51"/>
      <c r="F42" s="48"/>
      <c r="G42" s="51"/>
    </row>
    <row r="43" spans="1:6" ht="17.25">
      <c r="A43" s="25"/>
      <c r="F43" s="25"/>
    </row>
    <row r="44" spans="1:6" ht="17.25">
      <c r="A44" s="25"/>
      <c r="F44" s="25"/>
    </row>
    <row r="45" spans="1:6" ht="17.25">
      <c r="A45" s="25"/>
      <c r="F45" s="25"/>
    </row>
    <row r="46" spans="1:6" ht="17.25">
      <c r="A46" s="25"/>
      <c r="F46" s="25"/>
    </row>
    <row r="47" spans="1:6" ht="17.25">
      <c r="A47" s="25"/>
      <c r="F47" s="25"/>
    </row>
    <row r="48" spans="1:6" ht="17.25">
      <c r="A48" s="25"/>
      <c r="F48" s="25"/>
    </row>
    <row r="49" spans="1:6" ht="17.25">
      <c r="A49" s="25"/>
      <c r="F49" s="25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Layout" zoomScaleSheetLayoutView="100" workbookViewId="0" topLeftCell="A40">
      <selection activeCell="A51" sqref="A51"/>
    </sheetView>
  </sheetViews>
  <sheetFormatPr defaultColWidth="9.140625" defaultRowHeight="12.75"/>
  <cols>
    <col min="1" max="1" width="61.7109375" style="13" customWidth="1"/>
    <col min="2" max="2" width="10.8515625" style="34" customWidth="1"/>
    <col min="3" max="3" width="11.8515625" style="34" customWidth="1"/>
    <col min="4" max="4" width="1.8515625" style="34" customWidth="1"/>
    <col min="5" max="6" width="10.00390625" style="34" customWidth="1"/>
    <col min="7" max="7" width="7.421875" style="13" customWidth="1"/>
    <col min="8" max="16384" width="9.140625" style="13" customWidth="1"/>
  </cols>
  <sheetData>
    <row r="1" spans="1:7" ht="13.5">
      <c r="A1" s="323" t="str">
        <f>'[2]Cover '!D1</f>
        <v>SOPHARMA AD</v>
      </c>
      <c r="B1" s="324"/>
      <c r="C1" s="324"/>
      <c r="D1" s="324"/>
      <c r="E1" s="324"/>
      <c r="F1" s="270"/>
      <c r="G1" s="270"/>
    </row>
    <row r="2" spans="1:7" s="36" customFormat="1" ht="13.5">
      <c r="A2" s="327" t="s">
        <v>42</v>
      </c>
      <c r="B2" s="328"/>
      <c r="C2" s="328"/>
      <c r="D2" s="328"/>
      <c r="E2" s="328"/>
      <c r="F2" s="328"/>
      <c r="G2" s="328"/>
    </row>
    <row r="3" spans="1:6" ht="13.5">
      <c r="A3" s="75" t="s">
        <v>43</v>
      </c>
      <c r="B3" s="76"/>
      <c r="C3" s="239"/>
      <c r="D3" s="76"/>
      <c r="E3" s="76"/>
      <c r="F3" s="76"/>
    </row>
    <row r="4" spans="1:6" ht="15" customHeight="1">
      <c r="A4" s="101"/>
      <c r="B4" s="325" t="s">
        <v>44</v>
      </c>
      <c r="C4" s="326" t="s">
        <v>6</v>
      </c>
      <c r="D4" s="77"/>
      <c r="E4" s="326" t="s">
        <v>7</v>
      </c>
      <c r="F4" s="187"/>
    </row>
    <row r="5" spans="1:6" ht="12.75" customHeight="1">
      <c r="A5" s="112"/>
      <c r="B5" s="325"/>
      <c r="C5" s="326"/>
      <c r="D5" s="77"/>
      <c r="E5" s="326"/>
      <c r="F5" s="187"/>
    </row>
    <row r="6" spans="1:6" ht="15" customHeight="1">
      <c r="A6" s="102"/>
      <c r="C6" s="240"/>
      <c r="E6" s="135"/>
      <c r="F6" s="135"/>
    </row>
    <row r="7" ht="13.5">
      <c r="A7" s="272" t="s">
        <v>45</v>
      </c>
    </row>
    <row r="8" spans="1:7" ht="13.5">
      <c r="A8" s="273" t="s">
        <v>45</v>
      </c>
      <c r="B8" s="34">
        <v>3</v>
      </c>
      <c r="C8" s="241">
        <f>230691</f>
        <v>230691</v>
      </c>
      <c r="D8" s="90"/>
      <c r="E8" s="116">
        <f>210784+1634</f>
        <v>212418</v>
      </c>
      <c r="F8" s="116"/>
      <c r="G8" s="128"/>
    </row>
    <row r="9" spans="1:8" ht="13.5">
      <c r="A9" s="274" t="s">
        <v>46</v>
      </c>
      <c r="B9" s="34">
        <v>4</v>
      </c>
      <c r="C9" s="242">
        <f>4109+25</f>
        <v>4134</v>
      </c>
      <c r="D9" s="178"/>
      <c r="E9" s="116">
        <f>6544-1634</f>
        <v>4910</v>
      </c>
      <c r="F9" s="116"/>
      <c r="G9" s="104"/>
      <c r="H9" s="105"/>
    </row>
    <row r="10" spans="1:8" ht="15" customHeight="1">
      <c r="A10" s="275" t="s">
        <v>193</v>
      </c>
      <c r="C10" s="241">
        <v>-6183</v>
      </c>
      <c r="D10" s="116"/>
      <c r="E10" s="116">
        <f>1985+31</f>
        <v>2016</v>
      </c>
      <c r="F10" s="116"/>
      <c r="G10" s="104"/>
      <c r="H10" s="105"/>
    </row>
    <row r="11" spans="1:8" ht="13.5">
      <c r="A11" s="274" t="s">
        <v>47</v>
      </c>
      <c r="B11" s="97">
        <v>5</v>
      </c>
      <c r="C11" s="241">
        <v>-75486</v>
      </c>
      <c r="D11" s="116"/>
      <c r="E11" s="116">
        <v>-75752</v>
      </c>
      <c r="F11" s="116"/>
      <c r="G11" s="104"/>
      <c r="H11" s="105"/>
    </row>
    <row r="12" spans="1:8" ht="13.5">
      <c r="A12" s="274" t="s">
        <v>48</v>
      </c>
      <c r="B12" s="34">
        <v>6</v>
      </c>
      <c r="C12" s="242">
        <f>-34974</f>
        <v>-34974</v>
      </c>
      <c r="D12" s="116"/>
      <c r="E12" s="116">
        <f>-38647-7</f>
        <v>-38654</v>
      </c>
      <c r="F12" s="116"/>
      <c r="G12" s="104"/>
      <c r="H12" s="105"/>
    </row>
    <row r="13" spans="1:8" ht="13.5">
      <c r="A13" s="274" t="s">
        <v>49</v>
      </c>
      <c r="B13" s="34">
        <v>7</v>
      </c>
      <c r="C13" s="241">
        <v>-49203</v>
      </c>
      <c r="D13" s="116"/>
      <c r="E13" s="116">
        <v>-50147</v>
      </c>
      <c r="F13" s="116"/>
      <c r="G13" s="104"/>
      <c r="H13" s="105"/>
    </row>
    <row r="14" spans="1:8" ht="13.5">
      <c r="A14" s="274" t="s">
        <v>50</v>
      </c>
      <c r="B14" s="34" t="s">
        <v>3</v>
      </c>
      <c r="C14" s="241">
        <f>-18380+34-1</f>
        <v>-18347</v>
      </c>
      <c r="D14" s="116"/>
      <c r="E14" s="116">
        <f>-17414</f>
        <v>-17414</v>
      </c>
      <c r="F14" s="116"/>
      <c r="G14" s="104"/>
      <c r="H14" s="105"/>
    </row>
    <row r="15" spans="1:8" ht="13.5">
      <c r="A15" s="274" t="s">
        <v>51</v>
      </c>
      <c r="B15" s="34">
        <v>8</v>
      </c>
      <c r="C15" s="241">
        <v>-4594</v>
      </c>
      <c r="D15" s="90"/>
      <c r="E15" s="116">
        <f>-8919-590-70</f>
        <v>-9579</v>
      </c>
      <c r="F15" s="116"/>
      <c r="G15" s="104"/>
      <c r="H15" s="105"/>
    </row>
    <row r="16" spans="1:8" ht="13.5">
      <c r="A16" s="271" t="s">
        <v>52</v>
      </c>
      <c r="C16" s="243">
        <f>SUM(C8:C15)</f>
        <v>46038</v>
      </c>
      <c r="D16" s="116"/>
      <c r="E16" s="117">
        <f>SUM(E8:E15)</f>
        <v>27798</v>
      </c>
      <c r="F16" s="221"/>
      <c r="G16" s="104"/>
      <c r="H16" s="105"/>
    </row>
    <row r="17" spans="1:6" ht="7.5" customHeight="1">
      <c r="A17" s="36"/>
      <c r="C17" s="244"/>
      <c r="D17" s="90"/>
      <c r="E17" s="118"/>
      <c r="F17" s="118"/>
    </row>
    <row r="18" spans="1:6" ht="13.5">
      <c r="A18" s="273" t="s">
        <v>53</v>
      </c>
      <c r="B18" s="34">
        <v>10</v>
      </c>
      <c r="C18" s="245">
        <f>-677-14455-3</f>
        <v>-15135</v>
      </c>
      <c r="D18" s="90"/>
      <c r="E18" s="138">
        <v>-76</v>
      </c>
      <c r="F18" s="222"/>
    </row>
    <row r="19" spans="1:6" ht="6" customHeight="1">
      <c r="A19" s="36"/>
      <c r="C19" s="244"/>
      <c r="D19" s="90"/>
      <c r="E19" s="118"/>
      <c r="F19" s="118"/>
    </row>
    <row r="20" spans="1:6" ht="13.5">
      <c r="A20" s="274" t="s">
        <v>54</v>
      </c>
      <c r="B20" s="34">
        <v>11</v>
      </c>
      <c r="C20" s="241">
        <v>16966</v>
      </c>
      <c r="D20" s="90"/>
      <c r="E20" s="116">
        <v>10520</v>
      </c>
      <c r="F20" s="116"/>
    </row>
    <row r="21" spans="1:6" ht="13.5">
      <c r="A21" s="274" t="s">
        <v>55</v>
      </c>
      <c r="B21" s="34">
        <v>12</v>
      </c>
      <c r="C21" s="241">
        <v>-2611</v>
      </c>
      <c r="D21" s="116"/>
      <c r="E21" s="116">
        <f>-2411+10+656+36</f>
        <v>-1709</v>
      </c>
      <c r="F21" s="116"/>
    </row>
    <row r="22" spans="1:6" ht="13.5">
      <c r="A22" s="272" t="s">
        <v>56</v>
      </c>
      <c r="C22" s="243">
        <f>C20+C21</f>
        <v>14355</v>
      </c>
      <c r="D22" s="116"/>
      <c r="E22" s="117">
        <f>E20+E21</f>
        <v>8811</v>
      </c>
      <c r="F22" s="221"/>
    </row>
    <row r="23" spans="1:6" ht="8.25" customHeight="1">
      <c r="A23" s="78"/>
      <c r="C23" s="244"/>
      <c r="D23" s="93"/>
      <c r="E23" s="118"/>
      <c r="F23" s="118"/>
    </row>
    <row r="24" spans="1:6" ht="13.5">
      <c r="A24" s="271" t="s">
        <v>57</v>
      </c>
      <c r="C24" s="246">
        <f>C16+C22+C18</f>
        <v>45258</v>
      </c>
      <c r="D24" s="90"/>
      <c r="E24" s="119">
        <f>E16+E22+E18</f>
        <v>36533</v>
      </c>
      <c r="F24" s="221"/>
    </row>
    <row r="25" spans="1:6" ht="7.5" customHeight="1">
      <c r="A25" s="75"/>
      <c r="C25" s="247"/>
      <c r="D25" s="90"/>
      <c r="E25" s="120"/>
      <c r="F25" s="120"/>
    </row>
    <row r="26" spans="1:6" ht="13.5">
      <c r="A26" s="274" t="s">
        <v>58</v>
      </c>
      <c r="B26" s="34">
        <v>13</v>
      </c>
      <c r="C26" s="241">
        <v>-4876</v>
      </c>
      <c r="D26" s="90"/>
      <c r="E26" s="116">
        <f>-3377+59+8-1+145-69</f>
        <v>-3235</v>
      </c>
      <c r="F26" s="116"/>
    </row>
    <row r="27" spans="1:6" ht="13.5">
      <c r="A27" s="75"/>
      <c r="B27" s="33"/>
      <c r="C27" s="248"/>
      <c r="D27" s="116"/>
      <c r="E27" s="122"/>
      <c r="F27" s="223"/>
    </row>
    <row r="28" spans="1:8" ht="13.5">
      <c r="A28" s="271" t="s">
        <v>59</v>
      </c>
      <c r="B28" s="133"/>
      <c r="C28" s="246">
        <f>C24+C26</f>
        <v>40382</v>
      </c>
      <c r="D28" s="91"/>
      <c r="E28" s="119">
        <f>E24+E26</f>
        <v>33298</v>
      </c>
      <c r="F28" s="221"/>
      <c r="G28" s="104"/>
      <c r="H28" s="105"/>
    </row>
    <row r="29" spans="1:6" ht="8.25" customHeight="1">
      <c r="A29" s="75"/>
      <c r="B29" s="33"/>
      <c r="C29" s="249"/>
      <c r="D29" s="91"/>
      <c r="E29" s="113"/>
      <c r="F29" s="113"/>
    </row>
    <row r="30" spans="1:6" ht="13.5">
      <c r="A30" s="271" t="s">
        <v>60</v>
      </c>
      <c r="B30" s="110"/>
      <c r="C30" s="250"/>
      <c r="D30" s="33"/>
      <c r="E30" s="127"/>
      <c r="F30" s="127"/>
    </row>
    <row r="31" spans="1:6" ht="14.25">
      <c r="A31" s="276" t="s">
        <v>61</v>
      </c>
      <c r="B31" s="110"/>
      <c r="C31" s="251"/>
      <c r="D31" s="114"/>
      <c r="E31" s="139"/>
      <c r="F31" s="139"/>
    </row>
    <row r="32" spans="1:11" ht="13.5">
      <c r="A32" s="277" t="s">
        <v>62</v>
      </c>
      <c r="B32" s="34">
        <v>20</v>
      </c>
      <c r="C32" s="252">
        <v>-60</v>
      </c>
      <c r="D32" s="90"/>
      <c r="E32" s="140">
        <f>-99-656-37</f>
        <v>-792</v>
      </c>
      <c r="F32" s="140"/>
      <c r="I32" s="104"/>
      <c r="K32" s="104"/>
    </row>
    <row r="33" spans="1:6" ht="13.5">
      <c r="A33" s="278" t="s">
        <v>63</v>
      </c>
      <c r="B33" s="34">
        <v>34</v>
      </c>
      <c r="C33" s="253">
        <v>16</v>
      </c>
      <c r="D33" s="141"/>
      <c r="E33" s="142">
        <v>-30</v>
      </c>
      <c r="F33" s="142"/>
    </row>
    <row r="34" spans="1:6" ht="13.5">
      <c r="A34" s="275" t="s">
        <v>64</v>
      </c>
      <c r="B34" s="34">
        <v>15</v>
      </c>
      <c r="C34" s="252">
        <v>196</v>
      </c>
      <c r="D34" s="95"/>
      <c r="E34" s="142">
        <v>341</v>
      </c>
      <c r="F34" s="142"/>
    </row>
    <row r="35" spans="1:6" ht="27">
      <c r="A35" s="275" t="s">
        <v>65</v>
      </c>
      <c r="B35" s="34">
        <v>13</v>
      </c>
      <c r="C35" s="254">
        <v>-20</v>
      </c>
      <c r="D35" s="142"/>
      <c r="E35" s="138">
        <v>-34</v>
      </c>
      <c r="F35" s="222"/>
    </row>
    <row r="36" spans="1:6" ht="13.5">
      <c r="A36" s="279" t="s">
        <v>66</v>
      </c>
      <c r="B36" s="34">
        <v>14</v>
      </c>
      <c r="C36" s="143">
        <f>SUM(C32:C35)</f>
        <v>132</v>
      </c>
      <c r="D36" s="142"/>
      <c r="E36" s="143">
        <f>SUM(E32:E35)</f>
        <v>-515</v>
      </c>
      <c r="F36" s="224"/>
    </row>
    <row r="37" spans="1:6" ht="9" customHeight="1">
      <c r="A37" s="94"/>
      <c r="C37" s="255"/>
      <c r="D37" s="235"/>
      <c r="E37" s="225"/>
      <c r="F37" s="225"/>
    </row>
    <row r="38" spans="1:6" ht="14.25" thickBot="1">
      <c r="A38" s="279" t="s">
        <v>67</v>
      </c>
      <c r="B38" s="110"/>
      <c r="C38" s="256">
        <f>C36+C28</f>
        <v>40514</v>
      </c>
      <c r="D38" s="109"/>
      <c r="E38" s="121">
        <f>E36+E28</f>
        <v>32783</v>
      </c>
      <c r="F38" s="226"/>
    </row>
    <row r="39" spans="1:6" ht="9.75" customHeight="1" thickTop="1">
      <c r="A39" s="96"/>
      <c r="B39" s="110"/>
      <c r="C39" s="257"/>
      <c r="D39" s="109"/>
      <c r="E39" s="115"/>
      <c r="F39" s="115"/>
    </row>
    <row r="40" spans="1:6" ht="9.75" customHeight="1">
      <c r="A40" s="96"/>
      <c r="B40" s="110"/>
      <c r="C40" s="257"/>
      <c r="D40" s="109"/>
      <c r="E40" s="115"/>
      <c r="F40" s="115"/>
    </row>
    <row r="41" spans="1:6" ht="13.5">
      <c r="A41" s="280" t="s">
        <v>68</v>
      </c>
      <c r="B41" s="34">
        <v>28</v>
      </c>
      <c r="C41" s="236">
        <f>'[1]28 d'!$D$10</f>
        <v>0.3207555028949417</v>
      </c>
      <c r="D41" s="237"/>
      <c r="E41" s="236">
        <f>'[1]28 d'!$F$10</f>
        <v>0.2646924206186254</v>
      </c>
      <c r="F41" s="146"/>
    </row>
    <row r="42" spans="1:4" ht="13.5">
      <c r="A42" s="46"/>
      <c r="D42" s="144"/>
    </row>
    <row r="43" spans="1:4" ht="13.5">
      <c r="A43" s="46"/>
      <c r="D43" s="144"/>
    </row>
    <row r="44" spans="1:4" ht="13.5">
      <c r="A44" s="46"/>
      <c r="D44" s="144"/>
    </row>
    <row r="45" spans="1:3" ht="14.25">
      <c r="A45" s="281" t="s">
        <v>196</v>
      </c>
      <c r="C45" s="134"/>
    </row>
    <row r="46" spans="1:3" ht="14.25">
      <c r="A46" s="88"/>
      <c r="C46" s="134"/>
    </row>
    <row r="48" spans="1:3" ht="14.25">
      <c r="A48" s="282" t="s">
        <v>69</v>
      </c>
      <c r="C48" s="33"/>
    </row>
    <row r="49" ht="18" customHeight="1">
      <c r="A49" s="283" t="s">
        <v>11</v>
      </c>
    </row>
    <row r="50" ht="27.75" customHeight="1">
      <c r="A50" s="282" t="s">
        <v>70</v>
      </c>
    </row>
    <row r="51" ht="14.25">
      <c r="A51" s="283" t="s">
        <v>18</v>
      </c>
    </row>
    <row r="52" ht="27" customHeight="1">
      <c r="A52" s="284" t="s">
        <v>71</v>
      </c>
    </row>
    <row r="53" ht="14.25">
      <c r="A53" s="285" t="s">
        <v>20</v>
      </c>
    </row>
    <row r="54" ht="14.25">
      <c r="A54" s="70"/>
    </row>
    <row r="55" ht="14.25">
      <c r="A55" s="130"/>
    </row>
    <row r="56" ht="14.25">
      <c r="A56" s="130"/>
    </row>
    <row r="57" ht="14.25">
      <c r="A57" s="130"/>
    </row>
    <row r="58" ht="14.25">
      <c r="A58" s="130"/>
    </row>
    <row r="59" ht="14.25">
      <c r="A59" s="265"/>
    </row>
    <row r="60" spans="1:2" ht="13.5">
      <c r="A60" s="132"/>
      <c r="B60"/>
    </row>
  </sheetData>
  <sheetProtection/>
  <mergeCells count="5">
    <mergeCell ref="A1:E1"/>
    <mergeCell ref="B4:B5"/>
    <mergeCell ref="E4:E5"/>
    <mergeCell ref="C4:C5"/>
    <mergeCell ref="A2:G2"/>
  </mergeCells>
  <printOptions/>
  <pageMargins left="0.75" right="0.15748031496062992" top="0.4330708661417323" bottom="0.3329166666666667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&amp;L&amp;"Arial,Italic"&amp;9                            This is a translation from Bulgarian of the separate financial statements of Sopharma AD for year 2019.&amp;R1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73"/>
  <sheetViews>
    <sheetView view="pageLayout" zoomScaleSheetLayoutView="100" workbookViewId="0" topLeftCell="A32">
      <selection activeCell="A54" sqref="A54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4.25">
      <c r="A1" s="286" t="str">
        <f>'[2]Cover '!D1</f>
        <v>SOPHARMA AD</v>
      </c>
      <c r="B1" s="72"/>
      <c r="C1" s="72"/>
      <c r="D1" s="72"/>
      <c r="E1" s="29"/>
      <c r="F1" s="29"/>
    </row>
    <row r="2" spans="1:6" ht="14.25">
      <c r="A2" s="287" t="s">
        <v>72</v>
      </c>
      <c r="B2" s="73"/>
      <c r="C2" s="73"/>
      <c r="D2" s="73"/>
      <c r="E2" s="30"/>
      <c r="F2" s="30"/>
    </row>
    <row r="3" spans="1:6" ht="14.25">
      <c r="A3" s="30" t="s">
        <v>73</v>
      </c>
      <c r="B3" s="74"/>
      <c r="C3" s="74"/>
      <c r="D3" s="74"/>
      <c r="E3" s="17"/>
      <c r="F3" s="17"/>
    </row>
    <row r="4" spans="1:6" ht="26.25" customHeight="1">
      <c r="A4" s="79"/>
      <c r="B4" s="330" t="s">
        <v>44</v>
      </c>
      <c r="C4" s="326" t="s">
        <v>74</v>
      </c>
      <c r="D4" s="77"/>
      <c r="E4" s="326" t="s">
        <v>75</v>
      </c>
      <c r="F4" s="145"/>
    </row>
    <row r="5" spans="2:6" ht="12" customHeight="1">
      <c r="B5" s="330"/>
      <c r="C5" s="329"/>
      <c r="D5" s="77"/>
      <c r="E5" s="329"/>
      <c r="F5" s="181"/>
    </row>
    <row r="6" spans="2:6" ht="15.75" customHeight="1">
      <c r="B6" s="100"/>
      <c r="C6" s="136"/>
      <c r="D6" s="77"/>
      <c r="E6" s="136"/>
      <c r="F6" s="182"/>
    </row>
    <row r="7" spans="1:6" ht="14.25">
      <c r="A7" s="287" t="s">
        <v>76</v>
      </c>
      <c r="B7" s="35"/>
      <c r="C7" s="35"/>
      <c r="D7" s="35"/>
      <c r="E7" s="35"/>
      <c r="F7" s="35"/>
    </row>
    <row r="8" spans="1:6" ht="14.25">
      <c r="A8" s="287" t="s">
        <v>77</v>
      </c>
      <c r="B8" s="32"/>
      <c r="C8" s="32"/>
      <c r="D8" s="32"/>
      <c r="E8" s="32"/>
      <c r="F8" s="32"/>
    </row>
    <row r="9" spans="1:6" ht="14.25">
      <c r="A9" s="288" t="s">
        <v>78</v>
      </c>
      <c r="B9" s="37">
        <v>15</v>
      </c>
      <c r="C9" s="147">
        <v>224654</v>
      </c>
      <c r="D9" s="37"/>
      <c r="E9" s="147">
        <v>226956</v>
      </c>
      <c r="F9" s="56"/>
    </row>
    <row r="10" spans="1:6" ht="15">
      <c r="A10" s="289" t="s">
        <v>79</v>
      </c>
      <c r="B10" s="37">
        <v>16</v>
      </c>
      <c r="C10" s="147">
        <v>8524</v>
      </c>
      <c r="D10" s="37"/>
      <c r="E10" s="147">
        <v>11881</v>
      </c>
      <c r="F10" s="56"/>
    </row>
    <row r="11" spans="1:6" ht="14.25">
      <c r="A11" s="288" t="s">
        <v>80</v>
      </c>
      <c r="B11" s="37">
        <v>17</v>
      </c>
      <c r="C11" s="147">
        <v>39329</v>
      </c>
      <c r="D11" s="37"/>
      <c r="E11" s="147">
        <v>37451</v>
      </c>
      <c r="F11" s="56"/>
    </row>
    <row r="12" spans="1:6" ht="15">
      <c r="A12" s="289" t="s">
        <v>81</v>
      </c>
      <c r="B12" s="37">
        <v>18</v>
      </c>
      <c r="C12" s="147">
        <f>87147-1</f>
        <v>87146</v>
      </c>
      <c r="D12" s="37"/>
      <c r="E12" s="147">
        <f>89945</f>
        <v>89945</v>
      </c>
      <c r="F12" s="56"/>
    </row>
    <row r="13" spans="1:6" ht="15">
      <c r="A13" s="289" t="s">
        <v>82</v>
      </c>
      <c r="B13" s="37">
        <v>19</v>
      </c>
      <c r="C13" s="147">
        <v>6062</v>
      </c>
      <c r="D13" s="37"/>
      <c r="E13" s="147">
        <v>7962</v>
      </c>
      <c r="F13" s="56"/>
    </row>
    <row r="14" spans="1:6" ht="15">
      <c r="A14" s="289" t="s">
        <v>83</v>
      </c>
      <c r="B14" s="37">
        <v>20</v>
      </c>
      <c r="C14" s="147">
        <f>9620+1</f>
        <v>9621</v>
      </c>
      <c r="D14" s="37"/>
      <c r="E14" s="147">
        <v>7599</v>
      </c>
      <c r="F14" s="56"/>
    </row>
    <row r="15" spans="1:6" ht="15">
      <c r="A15" s="290" t="s">
        <v>84</v>
      </c>
      <c r="B15" s="37">
        <v>21</v>
      </c>
      <c r="C15" s="147">
        <v>91794</v>
      </c>
      <c r="D15" s="37"/>
      <c r="E15" s="147">
        <v>23055</v>
      </c>
      <c r="F15" s="179"/>
    </row>
    <row r="16" spans="1:6" ht="15">
      <c r="A16" s="290" t="s">
        <v>85</v>
      </c>
      <c r="B16" s="37">
        <v>22</v>
      </c>
      <c r="C16" s="147">
        <f>9957-60</f>
        <v>9897</v>
      </c>
      <c r="D16" s="37"/>
      <c r="E16" s="147">
        <v>5760</v>
      </c>
      <c r="F16" s="179"/>
    </row>
    <row r="17" spans="1:9" ht="14.25">
      <c r="A17" s="14"/>
      <c r="B17" s="124"/>
      <c r="C17" s="58">
        <f>SUM(C9:C16)</f>
        <v>477027</v>
      </c>
      <c r="D17" s="32"/>
      <c r="E17" s="58">
        <f>SUM(E9:E16)</f>
        <v>410609</v>
      </c>
      <c r="F17" s="59"/>
      <c r="I17" s="145" t="s">
        <v>2</v>
      </c>
    </row>
    <row r="18" spans="1:6" ht="14.25" customHeight="1">
      <c r="A18" s="287" t="s">
        <v>86</v>
      </c>
      <c r="B18" s="32"/>
      <c r="C18" s="57"/>
      <c r="D18" s="32"/>
      <c r="E18" s="57"/>
      <c r="F18" s="57"/>
    </row>
    <row r="19" spans="1:6" ht="13.5">
      <c r="A19" s="288" t="s">
        <v>87</v>
      </c>
      <c r="B19" s="37">
        <v>23</v>
      </c>
      <c r="C19" s="56">
        <v>61365</v>
      </c>
      <c r="D19" s="37"/>
      <c r="E19" s="56">
        <v>68499</v>
      </c>
      <c r="F19" s="56"/>
    </row>
    <row r="20" spans="1:6" ht="13.5">
      <c r="A20" s="288" t="s">
        <v>88</v>
      </c>
      <c r="B20" s="37">
        <v>24</v>
      </c>
      <c r="C20" s="56">
        <f>97015-1</f>
        <v>97014</v>
      </c>
      <c r="D20" s="180"/>
      <c r="E20" s="56">
        <v>91509</v>
      </c>
      <c r="F20" s="179"/>
    </row>
    <row r="21" spans="1:6" ht="13.5">
      <c r="A21" s="288" t="s">
        <v>89</v>
      </c>
      <c r="B21" s="37">
        <v>25</v>
      </c>
      <c r="C21" s="234">
        <v>27212</v>
      </c>
      <c r="D21" s="37"/>
      <c r="E21" s="147">
        <f>19721-220-70</f>
        <v>19431</v>
      </c>
      <c r="F21" s="179"/>
    </row>
    <row r="22" spans="1:6" ht="13.5">
      <c r="A22" s="288" t="s">
        <v>90</v>
      </c>
      <c r="B22" s="37" t="s">
        <v>4</v>
      </c>
      <c r="C22" s="56">
        <f>6047-3</f>
        <v>6044</v>
      </c>
      <c r="D22" s="37"/>
      <c r="E22" s="56">
        <v>3270</v>
      </c>
      <c r="F22" s="179"/>
    </row>
    <row r="23" spans="1:6" ht="13.5">
      <c r="A23" s="291" t="s">
        <v>91</v>
      </c>
      <c r="B23" s="37" t="s">
        <v>5</v>
      </c>
      <c r="C23" s="234">
        <v>6144</v>
      </c>
      <c r="D23" s="37"/>
      <c r="E23" s="147">
        <f>5717+220</f>
        <v>5937</v>
      </c>
      <c r="F23" s="56"/>
    </row>
    <row r="24" spans="1:6" ht="13.5">
      <c r="A24" s="288" t="s">
        <v>92</v>
      </c>
      <c r="B24" s="37">
        <v>27</v>
      </c>
      <c r="C24" s="56">
        <v>3959</v>
      </c>
      <c r="D24" s="37"/>
      <c r="E24" s="56">
        <v>8971</v>
      </c>
      <c r="F24" s="56"/>
    </row>
    <row r="25" spans="1:6" ht="13.5">
      <c r="A25" s="30"/>
      <c r="B25" s="32"/>
      <c r="C25" s="58">
        <f>SUM(C19:C24)</f>
        <v>201738</v>
      </c>
      <c r="D25" s="32"/>
      <c r="E25" s="58">
        <f>SUM(E19:E24)</f>
        <v>197617</v>
      </c>
      <c r="F25" s="59"/>
    </row>
    <row r="26" spans="1:6" ht="8.25" customHeight="1">
      <c r="A26" s="30"/>
      <c r="B26" s="32"/>
      <c r="C26" s="59"/>
      <c r="D26" s="32"/>
      <c r="E26" s="59"/>
      <c r="F26" s="59"/>
    </row>
    <row r="27" spans="1:6" ht="15.75" customHeight="1" thickBot="1">
      <c r="A27" s="287" t="s">
        <v>93</v>
      </c>
      <c r="B27" s="124"/>
      <c r="C27" s="60">
        <f>SUM(C17+C25)</f>
        <v>678765</v>
      </c>
      <c r="D27" s="32"/>
      <c r="E27" s="60">
        <f>SUM(E17+E25)</f>
        <v>608226</v>
      </c>
      <c r="F27" s="59"/>
    </row>
    <row r="28" spans="1:6" ht="10.5" customHeight="1" thickTop="1">
      <c r="A28" s="17"/>
      <c r="B28" s="37"/>
      <c r="C28" s="57"/>
      <c r="D28" s="37"/>
      <c r="E28" s="57"/>
      <c r="F28" s="57"/>
    </row>
    <row r="29" spans="1:6" ht="15.75" customHeight="1">
      <c r="A29" s="287" t="s">
        <v>94</v>
      </c>
      <c r="B29" s="35"/>
      <c r="C29" s="80"/>
      <c r="D29" s="35"/>
      <c r="E29" s="80"/>
      <c r="F29" s="80"/>
    </row>
    <row r="30" spans="1:6" ht="17.25" customHeight="1">
      <c r="A30" s="292" t="s">
        <v>95</v>
      </c>
      <c r="B30" s="35"/>
      <c r="C30" s="80"/>
      <c r="D30" s="35"/>
      <c r="E30" s="80"/>
      <c r="F30" s="80"/>
    </row>
    <row r="31" spans="1:6" ht="13.5">
      <c r="A31" s="288" t="s">
        <v>96</v>
      </c>
      <c r="B31" s="68"/>
      <c r="C31" s="106">
        <v>134798</v>
      </c>
      <c r="D31" s="68"/>
      <c r="E31" s="106">
        <v>134798</v>
      </c>
      <c r="F31" s="106"/>
    </row>
    <row r="32" spans="1:7" ht="13.5">
      <c r="A32" s="288" t="s">
        <v>97</v>
      </c>
      <c r="B32" s="68"/>
      <c r="C32" s="106">
        <v>-34142</v>
      </c>
      <c r="D32" s="68"/>
      <c r="E32" s="106">
        <v>-33337</v>
      </c>
      <c r="F32" s="106"/>
      <c r="G32" s="92"/>
    </row>
    <row r="33" spans="1:6" ht="13.5">
      <c r="A33" s="288" t="s">
        <v>98</v>
      </c>
      <c r="B33" s="68"/>
      <c r="C33" s="106">
        <f>382373+176</f>
        <v>382549</v>
      </c>
      <c r="D33" s="68"/>
      <c r="E33" s="106">
        <v>357310</v>
      </c>
      <c r="F33" s="106"/>
    </row>
    <row r="34" spans="1:6" ht="13.5">
      <c r="A34" s="288" t="s">
        <v>99</v>
      </c>
      <c r="B34" s="68"/>
      <c r="C34" s="258">
        <v>39439</v>
      </c>
      <c r="D34" s="68"/>
      <c r="E34" s="106">
        <f>30372+145-69</f>
        <v>30448</v>
      </c>
      <c r="F34" s="179"/>
    </row>
    <row r="35" spans="1:6" ht="13.5">
      <c r="A35" s="30"/>
      <c r="B35" s="35">
        <v>28</v>
      </c>
      <c r="C35" s="185">
        <f>SUM(C31:C34)</f>
        <v>522644</v>
      </c>
      <c r="D35" s="37"/>
      <c r="E35" s="185">
        <f>SUM(E31:E34)</f>
        <v>489219</v>
      </c>
      <c r="F35" s="62"/>
    </row>
    <row r="36" spans="1:6" ht="13.5">
      <c r="A36" s="287" t="s">
        <v>100</v>
      </c>
      <c r="B36" s="32"/>
      <c r="C36" s="68"/>
      <c r="D36" s="68"/>
      <c r="E36" s="68"/>
      <c r="F36" s="68"/>
    </row>
    <row r="37" spans="1:6" ht="13.5">
      <c r="A37" s="287" t="s">
        <v>101</v>
      </c>
      <c r="B37" s="68"/>
      <c r="C37" s="68"/>
      <c r="D37" s="68"/>
      <c r="E37" s="56"/>
      <c r="F37" s="57"/>
    </row>
    <row r="38" spans="1:6" ht="13.5">
      <c r="A38" s="288" t="s">
        <v>102</v>
      </c>
      <c r="B38" s="68">
        <v>29</v>
      </c>
      <c r="C38" s="56">
        <v>2398</v>
      </c>
      <c r="D38" s="68"/>
      <c r="E38" s="56">
        <v>9556</v>
      </c>
      <c r="F38" s="106"/>
    </row>
    <row r="39" spans="1:6" ht="13.5">
      <c r="A39" s="289" t="s">
        <v>103</v>
      </c>
      <c r="B39" s="68">
        <v>30</v>
      </c>
      <c r="C39" s="259">
        <v>6209</v>
      </c>
      <c r="D39" s="68"/>
      <c r="E39" s="56">
        <v>6235</v>
      </c>
      <c r="F39" s="179"/>
    </row>
    <row r="40" spans="1:6" ht="13.5">
      <c r="A40" s="293" t="s">
        <v>104</v>
      </c>
      <c r="B40" s="68">
        <v>31</v>
      </c>
      <c r="C40" s="56">
        <v>4858</v>
      </c>
      <c r="D40" s="68"/>
      <c r="E40" s="56">
        <v>5397</v>
      </c>
      <c r="F40" s="106"/>
    </row>
    <row r="41" spans="1:6" ht="13.5">
      <c r="A41" s="111" t="s">
        <v>105</v>
      </c>
      <c r="B41" s="68">
        <v>32</v>
      </c>
      <c r="C41" s="56">
        <v>1610</v>
      </c>
      <c r="E41" s="66">
        <v>0</v>
      </c>
      <c r="F41" s="106"/>
    </row>
    <row r="42" spans="1:6" ht="13.5">
      <c r="A42" s="111" t="s">
        <v>106</v>
      </c>
      <c r="B42" s="68">
        <v>33</v>
      </c>
      <c r="C42" s="56">
        <v>954</v>
      </c>
      <c r="E42" s="66">
        <v>0</v>
      </c>
      <c r="F42" s="106"/>
    </row>
    <row r="43" spans="1:7" ht="13.5">
      <c r="A43" s="288" t="s">
        <v>107</v>
      </c>
      <c r="B43" s="68">
        <v>34</v>
      </c>
      <c r="C43" s="56">
        <v>4638</v>
      </c>
      <c r="D43" s="68"/>
      <c r="E43" s="56">
        <v>4418</v>
      </c>
      <c r="F43" s="106"/>
      <c r="G43" s="92"/>
    </row>
    <row r="44" spans="1:6" ht="13.5">
      <c r="A44" s="14"/>
      <c r="B44" s="32"/>
      <c r="C44" s="185">
        <f>SUM(C38:C43)</f>
        <v>20667</v>
      </c>
      <c r="D44" s="32"/>
      <c r="E44" s="185">
        <f>SUM(E38:E43)</f>
        <v>25606</v>
      </c>
      <c r="F44" s="62"/>
    </row>
    <row r="45" spans="1:6" ht="6.75" customHeight="1">
      <c r="A45" s="14"/>
      <c r="B45" s="32"/>
      <c r="C45" s="227"/>
      <c r="D45" s="32"/>
      <c r="E45" s="227"/>
      <c r="F45" s="62"/>
    </row>
    <row r="46" spans="1:6" ht="13.5">
      <c r="A46" s="287" t="s">
        <v>108</v>
      </c>
      <c r="B46" s="81"/>
      <c r="C46" s="81"/>
      <c r="D46" s="81"/>
      <c r="E46" s="56"/>
      <c r="F46" s="82"/>
    </row>
    <row r="47" spans="1:6" ht="13.5">
      <c r="A47" s="294" t="s">
        <v>109</v>
      </c>
      <c r="B47" s="37">
        <v>35</v>
      </c>
      <c r="C47" s="56">
        <v>100359</v>
      </c>
      <c r="D47" s="238"/>
      <c r="E47" s="56">
        <v>65652</v>
      </c>
      <c r="F47" s="106"/>
    </row>
    <row r="48" spans="1:6" ht="13.5">
      <c r="A48" s="294" t="s">
        <v>110</v>
      </c>
      <c r="B48" s="37">
        <v>29</v>
      </c>
      <c r="C48" s="56">
        <v>7181</v>
      </c>
      <c r="D48" s="37"/>
      <c r="E48" s="56">
        <v>7168</v>
      </c>
      <c r="F48" s="106"/>
    </row>
    <row r="49" spans="1:6" ht="13.5">
      <c r="A49" s="294" t="s">
        <v>111</v>
      </c>
      <c r="B49" s="37">
        <v>36</v>
      </c>
      <c r="C49" s="56">
        <v>6074</v>
      </c>
      <c r="D49" s="37"/>
      <c r="E49" s="56">
        <v>8922</v>
      </c>
      <c r="F49" s="106"/>
    </row>
    <row r="50" spans="1:6" ht="13.5">
      <c r="A50" s="294" t="s">
        <v>112</v>
      </c>
      <c r="B50" s="37">
        <v>37</v>
      </c>
      <c r="C50" s="56">
        <v>6664</v>
      </c>
      <c r="D50" s="37"/>
      <c r="E50" s="56">
        <v>633</v>
      </c>
      <c r="F50" s="106"/>
    </row>
    <row r="51" spans="1:6" ht="13.5">
      <c r="A51" s="294" t="s">
        <v>113</v>
      </c>
      <c r="B51" s="37">
        <v>38</v>
      </c>
      <c r="C51" s="56">
        <v>2329</v>
      </c>
      <c r="D51" s="37"/>
      <c r="E51" s="56">
        <v>1884</v>
      </c>
      <c r="F51" s="106"/>
    </row>
    <row r="52" spans="1:6" ht="16.5" customHeight="1">
      <c r="A52" s="295" t="s">
        <v>114</v>
      </c>
      <c r="B52" s="37">
        <v>39</v>
      </c>
      <c r="C52" s="56">
        <v>7266</v>
      </c>
      <c r="D52" s="37"/>
      <c r="E52" s="56">
        <v>7119</v>
      </c>
      <c r="F52" s="106"/>
    </row>
    <row r="53" spans="1:6" ht="13.5">
      <c r="A53" s="294" t="s">
        <v>115</v>
      </c>
      <c r="B53" s="37">
        <v>40</v>
      </c>
      <c r="C53" s="56">
        <v>5581</v>
      </c>
      <c r="D53" s="37"/>
      <c r="E53" s="56">
        <v>2023</v>
      </c>
      <c r="F53" s="179"/>
    </row>
    <row r="54" spans="1:6" ht="13.5">
      <c r="A54" s="30"/>
      <c r="B54" s="32"/>
      <c r="C54" s="61">
        <f>SUM(C47:C53)</f>
        <v>135454</v>
      </c>
      <c r="D54" s="32"/>
      <c r="E54" s="61">
        <f>SUM(E47:E53)</f>
        <v>93401</v>
      </c>
      <c r="F54" s="62"/>
    </row>
    <row r="55" spans="1:6" ht="6.75" customHeight="1">
      <c r="A55" s="30"/>
      <c r="B55" s="32"/>
      <c r="C55" s="62"/>
      <c r="D55" s="32"/>
      <c r="E55" s="62"/>
      <c r="F55" s="62"/>
    </row>
    <row r="56" spans="1:6" ht="13.5">
      <c r="A56" s="287" t="s">
        <v>116</v>
      </c>
      <c r="B56" s="32"/>
      <c r="C56" s="63">
        <f>C44+C54</f>
        <v>156121</v>
      </c>
      <c r="D56" s="32"/>
      <c r="E56" s="63">
        <f>E44+E54</f>
        <v>119007</v>
      </c>
      <c r="F56" s="62"/>
    </row>
    <row r="57" spans="1:6" ht="5.25" customHeight="1">
      <c r="A57" s="83"/>
      <c r="B57" s="32"/>
      <c r="C57" s="62"/>
      <c r="D57" s="32"/>
      <c r="E57" s="62"/>
      <c r="F57" s="62"/>
    </row>
    <row r="58" spans="1:6" ht="14.25" thickBot="1">
      <c r="A58" s="287" t="s">
        <v>117</v>
      </c>
      <c r="B58" s="32"/>
      <c r="C58" s="64">
        <f>C35+C56</f>
        <v>678765</v>
      </c>
      <c r="D58" s="32"/>
      <c r="E58" s="64">
        <f>E35+E56</f>
        <v>608226</v>
      </c>
      <c r="F58" s="62"/>
    </row>
    <row r="59" spans="1:6" ht="7.5" customHeight="1" thickTop="1">
      <c r="A59" s="17"/>
      <c r="B59" s="37"/>
      <c r="C59" s="108"/>
      <c r="D59" s="37"/>
      <c r="E59" s="108"/>
      <c r="F59" s="108"/>
    </row>
    <row r="60" spans="1:6" ht="17.25" customHeight="1">
      <c r="A60" s="17"/>
      <c r="B60" s="37"/>
      <c r="C60" s="108"/>
      <c r="D60" s="37"/>
      <c r="E60" s="108"/>
      <c r="F60" s="108"/>
    </row>
    <row r="61" spans="1:6" ht="15" customHeight="1">
      <c r="A61" s="86" t="str">
        <f>'IS'!A45</f>
        <v>The accompanying notes on pages 5 to 148 form an integral part of these separate financial statements.</v>
      </c>
      <c r="B61" s="87"/>
      <c r="C61" s="129"/>
      <c r="D61" s="129"/>
      <c r="E61" s="129"/>
      <c r="F61" s="129"/>
    </row>
    <row r="62" spans="1:6" ht="6.75" customHeight="1">
      <c r="A62" s="86"/>
      <c r="B62" s="87"/>
      <c r="C62" s="129"/>
      <c r="D62" s="129"/>
      <c r="E62" s="129"/>
      <c r="F62" s="129"/>
    </row>
    <row r="63" spans="1:6" ht="36" customHeight="1">
      <c r="A63" s="331" t="s">
        <v>118</v>
      </c>
      <c r="B63" s="331"/>
      <c r="C63" s="331"/>
      <c r="D63" s="331"/>
      <c r="E63" s="331"/>
      <c r="F63" s="89"/>
    </row>
    <row r="64" spans="1:6" s="13" customFormat="1" ht="14.25">
      <c r="A64" s="282" t="s">
        <v>69</v>
      </c>
      <c r="B64" s="34"/>
      <c r="C64" s="126"/>
      <c r="D64" s="34"/>
      <c r="E64" s="126"/>
      <c r="F64" s="125"/>
    </row>
    <row r="65" spans="1:6" s="13" customFormat="1" ht="15.75" customHeight="1">
      <c r="A65" s="283" t="s">
        <v>11</v>
      </c>
      <c r="B65" s="34"/>
      <c r="C65" s="34"/>
      <c r="D65" s="34"/>
      <c r="E65" s="125"/>
      <c r="F65" s="125"/>
    </row>
    <row r="66" spans="1:6" s="13" customFormat="1" ht="6" customHeight="1">
      <c r="A66" s="65"/>
      <c r="B66" s="34"/>
      <c r="C66" s="34"/>
      <c r="D66" s="34"/>
      <c r="E66" s="34"/>
      <c r="F66" s="34"/>
    </row>
    <row r="67" spans="1:6" s="13" customFormat="1" ht="18.75" customHeight="1">
      <c r="A67" s="282" t="s">
        <v>70</v>
      </c>
      <c r="B67" s="34"/>
      <c r="C67" s="34"/>
      <c r="D67" s="34"/>
      <c r="E67" s="34"/>
      <c r="F67" s="34"/>
    </row>
    <row r="68" spans="1:6" s="13" customFormat="1" ht="12.75" customHeight="1">
      <c r="A68" s="283" t="s">
        <v>18</v>
      </c>
      <c r="B68" s="34"/>
      <c r="C68" s="34"/>
      <c r="D68" s="34"/>
      <c r="E68" s="125"/>
      <c r="F68" s="125"/>
    </row>
    <row r="69" spans="1:6" s="13" customFormat="1" ht="4.5" customHeight="1">
      <c r="A69" s="65"/>
      <c r="B69" s="34"/>
      <c r="C69" s="34"/>
      <c r="D69" s="34"/>
      <c r="E69" s="34"/>
      <c r="F69" s="34"/>
    </row>
    <row r="70" spans="1:6" s="13" customFormat="1" ht="21" customHeight="1">
      <c r="A70" s="70" t="s">
        <v>19</v>
      </c>
      <c r="B70" s="34"/>
      <c r="C70" s="34"/>
      <c r="D70" s="34"/>
      <c r="E70" s="34"/>
      <c r="F70" s="34"/>
    </row>
    <row r="71" spans="1:6" s="13" customFormat="1" ht="12.75" customHeight="1">
      <c r="A71" s="71" t="s">
        <v>20</v>
      </c>
      <c r="B71" s="34"/>
      <c r="C71" s="34"/>
      <c r="D71" s="34"/>
      <c r="E71" s="34"/>
      <c r="F71" s="34"/>
    </row>
    <row r="72" spans="1:6" s="13" customFormat="1" ht="12.75" customHeight="1">
      <c r="A72" s="263"/>
      <c r="B72" s="34"/>
      <c r="C72" s="34"/>
      <c r="D72" s="34"/>
      <c r="E72" s="34"/>
      <c r="F72" s="34"/>
    </row>
    <row r="73" ht="12.75">
      <c r="A73" s="264"/>
    </row>
  </sheetData>
  <sheetProtection/>
  <mergeCells count="4">
    <mergeCell ref="E4:E5"/>
    <mergeCell ref="B4:B5"/>
    <mergeCell ref="C4:C5"/>
    <mergeCell ref="A63:E63"/>
  </mergeCells>
  <printOptions/>
  <pageMargins left="0.7480314960629921" right="0.4330708661417323" top="0.3937007874015748" bottom="0.48125" header="0.4330708661417323" footer="0.35433070866141736"/>
  <pageSetup horizontalDpi="600" verticalDpi="600" orientation="portrait" pageOrder="overThenDown" paperSize="9" scale="77" r:id="rId3"/>
  <headerFooter alignWithMargins="0">
    <oddFooter>&amp;L&amp;"Arial,Italic"&amp;9                                     This is a translation from Bulgarian of the separate financial statements of Sopharma AD for year 2019.&amp;R&amp;"Times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71"/>
  <sheetViews>
    <sheetView view="pageLayout" zoomScaleSheetLayoutView="100" workbookViewId="0" topLeftCell="A52">
      <selection activeCell="A74" sqref="A74"/>
    </sheetView>
  </sheetViews>
  <sheetFormatPr defaultColWidth="2.57421875" defaultRowHeight="12.75"/>
  <cols>
    <col min="1" max="1" width="61.28125" style="11" customWidth="1"/>
    <col min="2" max="2" width="10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3.5">
      <c r="A1" s="333" t="str">
        <f>'[2]Cover '!D1</f>
        <v>SOPHARMA AD</v>
      </c>
      <c r="B1" s="334"/>
      <c r="C1" s="334"/>
      <c r="D1" s="334"/>
      <c r="E1" s="334"/>
    </row>
    <row r="2" spans="1:5" s="3" customFormat="1" ht="13.5">
      <c r="A2" s="335" t="s">
        <v>119</v>
      </c>
      <c r="B2" s="336"/>
      <c r="C2" s="336"/>
      <c r="D2" s="336"/>
      <c r="E2" s="336"/>
    </row>
    <row r="3" spans="1:5" s="3" customFormat="1" ht="13.5">
      <c r="A3" s="75" t="str">
        <f>'IS'!A3</f>
        <v>for the year ended 31 December 2019</v>
      </c>
      <c r="B3" s="40"/>
      <c r="C3" s="40"/>
      <c r="D3" s="40"/>
      <c r="E3" s="40"/>
    </row>
    <row r="4" spans="1:5" ht="17.25" customHeight="1">
      <c r="A4" s="332" t="s">
        <v>44</v>
      </c>
      <c r="B4" s="332"/>
      <c r="C4" s="49">
        <v>2019</v>
      </c>
      <c r="D4" s="52"/>
      <c r="E4" s="49">
        <v>2018</v>
      </c>
    </row>
    <row r="5" spans="1:5" ht="14.25" customHeight="1">
      <c r="A5" s="41"/>
      <c r="B5" s="12"/>
      <c r="C5" s="38" t="s">
        <v>0</v>
      </c>
      <c r="D5" s="12"/>
      <c r="E5" s="38" t="s">
        <v>0</v>
      </c>
    </row>
    <row r="6" spans="1:5" ht="12.75" customHeight="1">
      <c r="A6" s="41"/>
      <c r="B6" s="12"/>
      <c r="C6" s="136"/>
      <c r="D6" s="12"/>
      <c r="E6" s="136"/>
    </row>
    <row r="7" spans="1:5" ht="13.5">
      <c r="A7" s="296" t="s">
        <v>120</v>
      </c>
      <c r="B7" s="42"/>
      <c r="C7" s="43"/>
      <c r="D7" s="42"/>
      <c r="E7" s="43"/>
    </row>
    <row r="8" spans="1:5" ht="13.5">
      <c r="A8" s="297" t="s">
        <v>121</v>
      </c>
      <c r="B8" s="42"/>
      <c r="C8" s="66">
        <v>232058</v>
      </c>
      <c r="D8" s="42"/>
      <c r="E8" s="66">
        <v>220302</v>
      </c>
    </row>
    <row r="9" spans="1:5" ht="13.5">
      <c r="A9" s="297" t="s">
        <v>122</v>
      </c>
      <c r="B9" s="42"/>
      <c r="C9" s="66">
        <v>-122956</v>
      </c>
      <c r="D9" s="42"/>
      <c r="E9" s="66">
        <v>-128291</v>
      </c>
    </row>
    <row r="10" spans="1:5" ht="13.5">
      <c r="A10" s="297" t="s">
        <v>123</v>
      </c>
      <c r="B10" s="42"/>
      <c r="C10" s="66">
        <v>-46835</v>
      </c>
      <c r="D10" s="42"/>
      <c r="E10" s="66">
        <v>-47343</v>
      </c>
    </row>
    <row r="11" spans="1:5" s="6" customFormat="1" ht="13.5">
      <c r="A11" s="297" t="s">
        <v>124</v>
      </c>
      <c r="B11" s="45"/>
      <c r="C11" s="66">
        <v>-9439</v>
      </c>
      <c r="D11" s="45"/>
      <c r="E11" s="66">
        <v>-8184</v>
      </c>
    </row>
    <row r="12" spans="1:5" s="6" customFormat="1" ht="13.5">
      <c r="A12" s="297" t="s">
        <v>125</v>
      </c>
      <c r="B12" s="45"/>
      <c r="C12" s="66">
        <v>1786</v>
      </c>
      <c r="D12" s="45"/>
      <c r="E12" s="66">
        <v>1998</v>
      </c>
    </row>
    <row r="13" spans="1:5" s="6" customFormat="1" ht="13.5">
      <c r="A13" s="297" t="s">
        <v>126</v>
      </c>
      <c r="B13" s="45"/>
      <c r="C13" s="66">
        <v>-4570</v>
      </c>
      <c r="D13" s="45"/>
      <c r="E13" s="66">
        <v>-4062</v>
      </c>
    </row>
    <row r="14" spans="1:5" s="6" customFormat="1" ht="13.5">
      <c r="A14" s="297" t="s">
        <v>127</v>
      </c>
      <c r="B14" s="45"/>
      <c r="C14" s="66">
        <v>-1656</v>
      </c>
      <c r="D14" s="45"/>
      <c r="E14" s="66">
        <v>-1090</v>
      </c>
    </row>
    <row r="15" spans="1:5" s="6" customFormat="1" ht="13.5">
      <c r="A15" s="297" t="s">
        <v>128</v>
      </c>
      <c r="B15" s="45"/>
      <c r="C15" s="66">
        <v>-187</v>
      </c>
      <c r="D15" s="45"/>
      <c r="E15" s="66">
        <v>-165</v>
      </c>
    </row>
    <row r="16" spans="1:5" ht="13.5">
      <c r="A16" s="297" t="s">
        <v>129</v>
      </c>
      <c r="B16" s="45"/>
      <c r="C16" s="66">
        <v>-610</v>
      </c>
      <c r="D16" s="45"/>
      <c r="E16" s="66">
        <v>-848</v>
      </c>
    </row>
    <row r="17" spans="1:5" s="6" customFormat="1" ht="13.5">
      <c r="A17" s="296" t="s">
        <v>130</v>
      </c>
      <c r="B17" s="45"/>
      <c r="C17" s="67">
        <f>SUM(C8:C16)</f>
        <v>47591</v>
      </c>
      <c r="D17" s="45"/>
      <c r="E17" s="67">
        <f>SUM(E8:E16)</f>
        <v>32317</v>
      </c>
    </row>
    <row r="18" spans="1:5" s="6" customFormat="1" ht="6" customHeight="1">
      <c r="A18" s="39"/>
      <c r="B18" s="45"/>
      <c r="C18" s="53"/>
      <c r="D18" s="45"/>
      <c r="E18" s="53"/>
    </row>
    <row r="19" spans="1:5" s="6" customFormat="1" ht="13.5">
      <c r="A19" s="298" t="s">
        <v>131</v>
      </c>
      <c r="B19" s="45"/>
      <c r="C19" s="53"/>
      <c r="D19" s="45"/>
      <c r="E19" s="53"/>
    </row>
    <row r="20" spans="1:5" ht="13.5">
      <c r="A20" s="297" t="s">
        <v>132</v>
      </c>
      <c r="B20" s="45"/>
      <c r="C20" s="66">
        <v>-8817</v>
      </c>
      <c r="D20" s="66"/>
      <c r="E20" s="66">
        <v>-10607</v>
      </c>
    </row>
    <row r="21" spans="1:5" ht="13.5">
      <c r="A21" s="299" t="s">
        <v>133</v>
      </c>
      <c r="B21" s="45"/>
      <c r="C21" s="66">
        <v>117</v>
      </c>
      <c r="D21" s="66"/>
      <c r="E21" s="66">
        <v>272</v>
      </c>
    </row>
    <row r="22" spans="1:5" ht="13.5">
      <c r="A22" s="297" t="s">
        <v>134</v>
      </c>
      <c r="B22" s="45"/>
      <c r="C22" s="66">
        <v>0</v>
      </c>
      <c r="D22" s="66"/>
      <c r="E22" s="66">
        <v>-282</v>
      </c>
    </row>
    <row r="23" spans="1:5" ht="13.5">
      <c r="A23" s="44" t="s">
        <v>135</v>
      </c>
      <c r="B23" s="45"/>
      <c r="C23" s="66">
        <v>-193</v>
      </c>
      <c r="D23" s="66"/>
      <c r="E23" s="66">
        <v>0</v>
      </c>
    </row>
    <row r="24" spans="1:5" ht="13.5">
      <c r="A24" s="297" t="s">
        <v>136</v>
      </c>
      <c r="B24" s="45"/>
      <c r="C24" s="66">
        <v>-192</v>
      </c>
      <c r="D24" s="66"/>
      <c r="E24" s="66">
        <v>-227</v>
      </c>
    </row>
    <row r="25" spans="1:5" ht="13.5">
      <c r="A25" s="297" t="s">
        <v>137</v>
      </c>
      <c r="B25" s="45"/>
      <c r="C25" s="66">
        <v>4799</v>
      </c>
      <c r="D25" s="66"/>
      <c r="E25" s="66">
        <v>7</v>
      </c>
    </row>
    <row r="26" spans="1:5" ht="13.5">
      <c r="A26" s="297" t="s">
        <v>138</v>
      </c>
      <c r="B26" s="45"/>
      <c r="C26" s="66">
        <v>-2170</v>
      </c>
      <c r="D26" s="148"/>
      <c r="E26" s="66">
        <v>-1744</v>
      </c>
    </row>
    <row r="27" spans="1:5" ht="13.5">
      <c r="A27" s="297" t="s">
        <v>139</v>
      </c>
      <c r="B27" s="45"/>
      <c r="C27" s="66">
        <v>90</v>
      </c>
      <c r="D27" s="148"/>
      <c r="E27" s="66">
        <v>907</v>
      </c>
    </row>
    <row r="28" spans="1:5" s="186" customFormat="1" ht="13.5">
      <c r="A28" s="300" t="s">
        <v>140</v>
      </c>
      <c r="B28" s="45"/>
      <c r="C28" s="66">
        <v>-11193</v>
      </c>
      <c r="D28" s="148"/>
      <c r="E28" s="66">
        <v>-257</v>
      </c>
    </row>
    <row r="29" spans="1:5" ht="13.5">
      <c r="A29" s="297" t="s">
        <v>141</v>
      </c>
      <c r="B29" s="45"/>
      <c r="C29" s="66">
        <v>1627</v>
      </c>
      <c r="D29" s="148"/>
      <c r="E29" s="66">
        <v>0</v>
      </c>
    </row>
    <row r="30" spans="1:5" ht="13.5">
      <c r="A30" s="297" t="s">
        <v>143</v>
      </c>
      <c r="B30" s="45"/>
      <c r="C30" s="66">
        <v>9114</v>
      </c>
      <c r="D30" s="66"/>
      <c r="E30" s="66">
        <v>8693</v>
      </c>
    </row>
    <row r="31" spans="1:5" ht="13.5">
      <c r="A31" s="297" t="s">
        <v>142</v>
      </c>
      <c r="B31" s="45"/>
      <c r="C31" s="66">
        <v>160</v>
      </c>
      <c r="D31" s="148"/>
      <c r="E31" s="66">
        <v>96</v>
      </c>
    </row>
    <row r="32" spans="1:5" ht="13.5">
      <c r="A32" s="299" t="s">
        <v>144</v>
      </c>
      <c r="B32" s="45"/>
      <c r="C32" s="66">
        <v>-94040</v>
      </c>
      <c r="D32" s="66"/>
      <c r="E32" s="66">
        <v>-31268</v>
      </c>
    </row>
    <row r="33" spans="1:5" ht="13.5">
      <c r="A33" s="297" t="s">
        <v>145</v>
      </c>
      <c r="B33" s="45"/>
      <c r="C33" s="66">
        <v>26104</v>
      </c>
      <c r="D33" s="66"/>
      <c r="E33" s="66">
        <v>22676</v>
      </c>
    </row>
    <row r="34" spans="1:5" ht="13.5">
      <c r="A34" s="297" t="s">
        <v>146</v>
      </c>
      <c r="B34" s="45"/>
      <c r="C34" s="66">
        <v>-8523</v>
      </c>
      <c r="D34" s="66"/>
      <c r="E34" s="66">
        <v>-7442</v>
      </c>
    </row>
    <row r="35" spans="1:5" ht="13.5">
      <c r="A35" s="297" t="s">
        <v>147</v>
      </c>
      <c r="B35" s="45"/>
      <c r="C35" s="66">
        <v>2405</v>
      </c>
      <c r="D35" s="66"/>
      <c r="E35" s="66">
        <v>5134</v>
      </c>
    </row>
    <row r="36" spans="1:5" ht="13.5">
      <c r="A36" s="297" t="s">
        <v>148</v>
      </c>
      <c r="B36" s="45"/>
      <c r="C36" s="66">
        <v>3264</v>
      </c>
      <c r="D36" s="66"/>
      <c r="E36" s="66">
        <v>1064</v>
      </c>
    </row>
    <row r="37" spans="1:5" ht="13.5">
      <c r="A37" s="297" t="s">
        <v>129</v>
      </c>
      <c r="B37" s="45"/>
      <c r="C37" s="66">
        <v>0</v>
      </c>
      <c r="D37" s="66"/>
      <c r="E37" s="66">
        <v>-54</v>
      </c>
    </row>
    <row r="38" spans="1:5" ht="13.5">
      <c r="A38" s="298" t="s">
        <v>194</v>
      </c>
      <c r="B38" s="45"/>
      <c r="C38" s="67">
        <f>SUM(C20:C37)</f>
        <v>-77448</v>
      </c>
      <c r="D38" s="45"/>
      <c r="E38" s="67">
        <f>SUM(E20:E37)</f>
        <v>-13032</v>
      </c>
    </row>
    <row r="39" spans="1:5" ht="6.75" customHeight="1">
      <c r="A39" s="44"/>
      <c r="B39" s="45"/>
      <c r="C39" s="53"/>
      <c r="D39" s="45"/>
      <c r="E39" s="53"/>
    </row>
    <row r="40" spans="1:5" ht="13.5" customHeight="1">
      <c r="A40" s="298" t="s">
        <v>149</v>
      </c>
      <c r="B40" s="45"/>
      <c r="C40" s="54"/>
      <c r="D40" s="45"/>
      <c r="E40" s="54"/>
    </row>
    <row r="41" spans="1:5" ht="13.5">
      <c r="A41" s="301" t="s">
        <v>150</v>
      </c>
      <c r="B41" s="45"/>
      <c r="C41" s="66">
        <v>24</v>
      </c>
      <c r="D41" s="148"/>
      <c r="E41" s="66">
        <v>33</v>
      </c>
    </row>
    <row r="42" spans="1:5" ht="13.5">
      <c r="A42" s="301" t="s">
        <v>151</v>
      </c>
      <c r="B42" s="45"/>
      <c r="C42" s="66">
        <v>-7207</v>
      </c>
      <c r="D42" s="148"/>
      <c r="E42" s="66">
        <v>-7413</v>
      </c>
    </row>
    <row r="43" spans="1:5" ht="13.5">
      <c r="A43" s="301" t="s">
        <v>152</v>
      </c>
      <c r="B43" s="45"/>
      <c r="C43" s="66">
        <v>34685</v>
      </c>
      <c r="D43" s="148"/>
      <c r="E43" s="66">
        <v>12588</v>
      </c>
    </row>
    <row r="44" spans="1:5" ht="13.5">
      <c r="A44" s="302" t="s">
        <v>153</v>
      </c>
      <c r="B44" s="45"/>
      <c r="C44" s="66">
        <v>-240</v>
      </c>
      <c r="D44" s="148"/>
      <c r="E44" s="66">
        <v>-365</v>
      </c>
    </row>
    <row r="45" spans="1:5" ht="13.5">
      <c r="A45" s="301" t="s">
        <v>154</v>
      </c>
      <c r="B45" s="45"/>
      <c r="C45" s="66">
        <v>0</v>
      </c>
      <c r="D45" s="148"/>
      <c r="E45" s="66">
        <v>11</v>
      </c>
    </row>
    <row r="46" spans="1:5" ht="13.5">
      <c r="A46" s="301" t="s">
        <v>97</v>
      </c>
      <c r="B46" s="45"/>
      <c r="C46" s="66">
        <v>-805</v>
      </c>
      <c r="D46" s="148"/>
      <c r="E46" s="66">
        <v>-861</v>
      </c>
    </row>
    <row r="47" spans="1:5" ht="13.5">
      <c r="A47" s="302" t="s">
        <v>155</v>
      </c>
      <c r="B47" s="45"/>
      <c r="C47" s="66">
        <v>-28</v>
      </c>
      <c r="D47" s="148"/>
      <c r="E47" s="66">
        <v>-20000</v>
      </c>
    </row>
    <row r="48" spans="1:5" ht="13.5">
      <c r="A48" s="44" t="s">
        <v>156</v>
      </c>
      <c r="B48" s="45"/>
      <c r="C48" s="66">
        <v>-1038</v>
      </c>
      <c r="D48" s="148"/>
      <c r="E48" s="66">
        <v>-71</v>
      </c>
    </row>
    <row r="49" spans="1:5" ht="13.5">
      <c r="A49" s="44" t="s">
        <v>157</v>
      </c>
      <c r="B49" s="45"/>
      <c r="C49" s="66">
        <v>-672</v>
      </c>
      <c r="D49" s="148"/>
      <c r="E49" s="66">
        <v>0</v>
      </c>
    </row>
    <row r="50" spans="1:5" ht="13.5">
      <c r="A50" s="229" t="s">
        <v>158</v>
      </c>
      <c r="B50" s="45"/>
      <c r="C50" s="66">
        <v>126</v>
      </c>
      <c r="D50" s="148"/>
      <c r="E50" s="66">
        <v>0</v>
      </c>
    </row>
    <row r="51" spans="1:5" s="6" customFormat="1" ht="13.5">
      <c r="A51" s="228" t="s">
        <v>159</v>
      </c>
      <c r="B51" s="45"/>
      <c r="C51" s="67">
        <f>SUM(C41:C50)</f>
        <v>24845</v>
      </c>
      <c r="D51" s="45"/>
      <c r="E51" s="67">
        <f>SUM(E41:E50)</f>
        <v>-16078</v>
      </c>
    </row>
    <row r="52" spans="1:5" ht="6.75" customHeight="1">
      <c r="A52" s="229"/>
      <c r="B52" s="45"/>
      <c r="C52" s="66"/>
      <c r="D52" s="45"/>
      <c r="E52" s="66"/>
    </row>
    <row r="53" spans="1:5" s="18" customFormat="1" ht="16.5" customHeight="1">
      <c r="A53" s="230" t="s">
        <v>160</v>
      </c>
      <c r="B53" s="45"/>
      <c r="C53" s="231">
        <f>C17+C38+C51</f>
        <v>-5012</v>
      </c>
      <c r="D53" s="45"/>
      <c r="E53" s="231">
        <f>E17+E38+E51</f>
        <v>3207</v>
      </c>
    </row>
    <row r="54" spans="1:5" s="18" customFormat="1" ht="5.25" customHeight="1">
      <c r="A54" s="229"/>
      <c r="B54" s="45"/>
      <c r="C54" s="53"/>
      <c r="D54" s="45"/>
      <c r="E54" s="53"/>
    </row>
    <row r="55" spans="1:5" s="19" customFormat="1" ht="13.5">
      <c r="A55" s="302" t="s">
        <v>161</v>
      </c>
      <c r="B55" s="45"/>
      <c r="C55" s="66">
        <f>E57</f>
        <v>8971</v>
      </c>
      <c r="D55" s="45"/>
      <c r="E55" s="66">
        <v>5764</v>
      </c>
    </row>
    <row r="56" spans="1:5" s="19" customFormat="1" ht="6" customHeight="1">
      <c r="A56" s="229"/>
      <c r="B56" s="45"/>
      <c r="C56" s="232"/>
      <c r="D56" s="45"/>
      <c r="E56" s="232"/>
    </row>
    <row r="57" spans="1:5" ht="14.25" thickBot="1">
      <c r="A57" s="303" t="s">
        <v>162</v>
      </c>
      <c r="B57" s="266">
        <v>27</v>
      </c>
      <c r="C57" s="233">
        <f>C55+C53</f>
        <v>3959</v>
      </c>
      <c r="D57" s="45"/>
      <c r="E57" s="233">
        <f>E55+E53</f>
        <v>8971</v>
      </c>
    </row>
    <row r="58" spans="2:5" ht="12" customHeight="1" thickTop="1">
      <c r="B58" s="42"/>
      <c r="C58" s="123"/>
      <c r="D58" s="42"/>
      <c r="E58" s="123"/>
    </row>
    <row r="59" spans="1:4" ht="13.5">
      <c r="A59" s="69" t="str">
        <f>SFP!A61</f>
        <v>The accompanying notes on pages 5 to 148 form an integral part of these separate financial statements.</v>
      </c>
      <c r="B59" s="42"/>
      <c r="C59" s="107"/>
      <c r="D59" s="42"/>
    </row>
    <row r="60" spans="1:4" ht="18" customHeight="1">
      <c r="A60" s="69"/>
      <c r="B60" s="42"/>
      <c r="C60" s="107"/>
      <c r="D60" s="42"/>
    </row>
    <row r="61" spans="1:4" ht="14.25">
      <c r="A61" s="282" t="s">
        <v>69</v>
      </c>
      <c r="B61" s="42"/>
      <c r="C61" s="107"/>
      <c r="D61" s="42"/>
    </row>
    <row r="62" spans="1:4" ht="14.25">
      <c r="A62" s="283" t="s">
        <v>11</v>
      </c>
      <c r="B62" s="42"/>
      <c r="C62" s="42"/>
      <c r="D62" s="42"/>
    </row>
    <row r="63" spans="1:4" ht="14.25">
      <c r="A63" s="65"/>
      <c r="B63" s="42"/>
      <c r="C63" s="42"/>
      <c r="D63" s="42"/>
    </row>
    <row r="64" spans="1:4" ht="14.25">
      <c r="A64" s="282" t="s">
        <v>70</v>
      </c>
      <c r="B64" s="42"/>
      <c r="C64" s="42"/>
      <c r="D64" s="42"/>
    </row>
    <row r="65" spans="1:4" ht="14.25">
      <c r="A65" s="283" t="s">
        <v>18</v>
      </c>
      <c r="B65" s="42"/>
      <c r="C65" s="42"/>
      <c r="D65" s="42"/>
    </row>
    <row r="66" spans="1:4" ht="14.25">
      <c r="A66" s="65"/>
      <c r="B66" s="42"/>
      <c r="C66" s="42"/>
      <c r="D66" s="42"/>
    </row>
    <row r="67" ht="14.25">
      <c r="A67" s="70" t="s">
        <v>19</v>
      </c>
    </row>
    <row r="68" ht="14.25">
      <c r="A68" s="71" t="s">
        <v>20</v>
      </c>
    </row>
    <row r="69" ht="14.25">
      <c r="A69" s="84"/>
    </row>
    <row r="70" ht="13.5">
      <c r="A70" s="85"/>
    </row>
    <row r="71" ht="13.5">
      <c r="A71" s="85"/>
    </row>
  </sheetData>
  <sheetProtection/>
  <mergeCells count="3">
    <mergeCell ref="A4:B4"/>
    <mergeCell ref="A1:E1"/>
    <mergeCell ref="A2:E2"/>
  </mergeCells>
  <printOptions/>
  <pageMargins left="0.7874015748031497" right="0.5118110236220472" top="0.5118110236220472" bottom="0.39425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&amp;L&amp;"Arial,Italic"&amp;9                            This is a translation from Bulgarian of the separate financial statements of Sopharma AD for year 2019.&amp;R3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62"/>
  <sheetViews>
    <sheetView tabSelected="1" view="pageLayout" zoomScaleSheetLayoutView="100" workbookViewId="0" topLeftCell="A19">
      <selection activeCell="A41" sqref="A41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341" t="s">
        <v>163</v>
      </c>
      <c r="B2" s="341"/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</row>
    <row r="3" spans="1:18" ht="18" customHeight="1">
      <c r="A3" s="75" t="str">
        <f>CFS!A3</f>
        <v>for the year ended 31 December 2019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98" customFormat="1" ht="15" customHeight="1">
      <c r="A4" s="340"/>
      <c r="B4" s="343" t="s">
        <v>44</v>
      </c>
      <c r="C4" s="343"/>
      <c r="D4" s="343" t="s">
        <v>164</v>
      </c>
      <c r="E4" s="149"/>
      <c r="F4" s="343" t="s">
        <v>165</v>
      </c>
      <c r="G4" s="149"/>
      <c r="H4" s="343" t="s">
        <v>166</v>
      </c>
      <c r="I4" s="304"/>
      <c r="J4" s="343" t="s">
        <v>167</v>
      </c>
      <c r="K4" s="149"/>
      <c r="L4" s="345" t="s">
        <v>168</v>
      </c>
      <c r="M4" s="304"/>
      <c r="N4" s="343" t="s">
        <v>169</v>
      </c>
      <c r="O4" s="304"/>
      <c r="P4" s="343" t="s">
        <v>170</v>
      </c>
      <c r="Q4" s="150"/>
      <c r="R4" s="340" t="s">
        <v>1</v>
      </c>
    </row>
    <row r="5" spans="1:18" s="99" customFormat="1" ht="24" customHeight="1">
      <c r="A5" s="340"/>
      <c r="B5" s="343"/>
      <c r="C5" s="343"/>
      <c r="D5" s="344"/>
      <c r="E5" s="151"/>
      <c r="F5" s="344"/>
      <c r="G5" s="151"/>
      <c r="H5" s="344"/>
      <c r="I5" s="305"/>
      <c r="J5" s="344"/>
      <c r="K5" s="151"/>
      <c r="L5" s="346"/>
      <c r="M5" s="305"/>
      <c r="N5" s="344"/>
      <c r="O5" s="305"/>
      <c r="P5" s="344"/>
      <c r="Q5" s="152"/>
      <c r="R5" s="340"/>
    </row>
    <row r="6" spans="1:18" s="21" customFormat="1" ht="13.5">
      <c r="A6" s="153"/>
      <c r="B6" s="154"/>
      <c r="C6" s="154"/>
      <c r="D6" s="155" t="s">
        <v>0</v>
      </c>
      <c r="E6" s="155"/>
      <c r="F6" s="155" t="s">
        <v>0</v>
      </c>
      <c r="G6" s="155"/>
      <c r="H6" s="155" t="s">
        <v>0</v>
      </c>
      <c r="I6" s="155"/>
      <c r="J6" s="155" t="s">
        <v>0</v>
      </c>
      <c r="K6" s="155"/>
      <c r="L6" s="155" t="s">
        <v>0</v>
      </c>
      <c r="M6" s="155"/>
      <c r="N6" s="155" t="s">
        <v>0</v>
      </c>
      <c r="O6" s="155"/>
      <c r="P6" s="155" t="s">
        <v>0</v>
      </c>
      <c r="Q6" s="155"/>
      <c r="R6" s="155" t="s">
        <v>0</v>
      </c>
    </row>
    <row r="7" spans="1:18" s="20" customFormat="1" ht="5.25" customHeight="1">
      <c r="A7" s="156"/>
      <c r="B7" s="156"/>
      <c r="C7" s="156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89"/>
      <c r="Q7" s="155"/>
      <c r="R7" s="155"/>
    </row>
    <row r="8" spans="1:20" s="13" customFormat="1" ht="15.75" customHeight="1">
      <c r="A8" s="156"/>
      <c r="B8" s="156"/>
      <c r="C8" s="156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89"/>
      <c r="Q8" s="155"/>
      <c r="R8" s="155"/>
      <c r="S8" s="103"/>
      <c r="T8" s="103"/>
    </row>
    <row r="9" spans="1:20" s="13" customFormat="1" ht="13.5" customHeight="1">
      <c r="A9" s="306" t="s">
        <v>171</v>
      </c>
      <c r="B9" s="158"/>
      <c r="C9" s="158"/>
      <c r="D9" s="190">
        <v>134798</v>
      </c>
      <c r="E9" s="144"/>
      <c r="F9" s="190">
        <v>-33834</v>
      </c>
      <c r="G9" s="170"/>
      <c r="H9" s="190">
        <v>51666</v>
      </c>
      <c r="I9" s="171"/>
      <c r="J9" s="190">
        <v>23839</v>
      </c>
      <c r="K9" s="171"/>
      <c r="L9" s="190">
        <v>4089</v>
      </c>
      <c r="M9" s="171"/>
      <c r="N9" s="190">
        <v>251089</v>
      </c>
      <c r="O9" s="171"/>
      <c r="P9" s="190">
        <v>46147</v>
      </c>
      <c r="Q9" s="171"/>
      <c r="R9" s="191">
        <f>SUM(D9:Q9)</f>
        <v>477794</v>
      </c>
      <c r="S9" s="103"/>
      <c r="T9" s="103"/>
    </row>
    <row r="10" spans="1:20" s="13" customFormat="1" ht="13.5" customHeight="1">
      <c r="A10" s="307" t="s">
        <v>172</v>
      </c>
      <c r="B10" s="184"/>
      <c r="C10" s="184"/>
      <c r="D10" s="192">
        <v>0</v>
      </c>
      <c r="E10" s="192"/>
      <c r="F10" s="192">
        <v>0</v>
      </c>
      <c r="G10" s="192"/>
      <c r="H10" s="192">
        <v>0</v>
      </c>
      <c r="I10" s="193"/>
      <c r="J10" s="192">
        <v>0</v>
      </c>
      <c r="K10" s="193"/>
      <c r="L10" s="192">
        <v>0</v>
      </c>
      <c r="M10" s="193"/>
      <c r="N10" s="192">
        <v>0</v>
      </c>
      <c r="O10" s="193"/>
      <c r="P10" s="192">
        <v>-316</v>
      </c>
      <c r="Q10" s="193"/>
      <c r="R10" s="192">
        <f>SUM(D10:Q10)</f>
        <v>-316</v>
      </c>
      <c r="S10" s="103"/>
      <c r="T10" s="103"/>
    </row>
    <row r="11" spans="1:18" s="13" customFormat="1" ht="13.5">
      <c r="A11" s="159" t="s">
        <v>195</v>
      </c>
      <c r="B11" s="184">
        <v>2.4</v>
      </c>
      <c r="C11" s="184"/>
      <c r="D11" s="192">
        <v>0</v>
      </c>
      <c r="E11" s="192"/>
      <c r="F11" s="192">
        <v>0</v>
      </c>
      <c r="G11" s="192"/>
      <c r="H11" s="192">
        <v>0</v>
      </c>
      <c r="I11" s="193"/>
      <c r="J11" s="192">
        <v>0</v>
      </c>
      <c r="K11" s="193"/>
      <c r="L11" s="192">
        <v>0</v>
      </c>
      <c r="M11" s="193"/>
      <c r="N11" s="192">
        <v>0</v>
      </c>
      <c r="O11" s="193"/>
      <c r="P11" s="192">
        <v>-1309</v>
      </c>
      <c r="Q11" s="193"/>
      <c r="R11" s="192">
        <f>SUM(D11:Q11)</f>
        <v>-1309</v>
      </c>
    </row>
    <row r="12" spans="1:18" s="13" customFormat="1" ht="15.75" customHeight="1" thickBot="1">
      <c r="A12" s="306" t="s">
        <v>173</v>
      </c>
      <c r="B12" s="158"/>
      <c r="C12" s="158"/>
      <c r="D12" s="194">
        <f>SUM(D9:D11)</f>
        <v>134798</v>
      </c>
      <c r="E12" s="195"/>
      <c r="F12" s="194">
        <f>SUM(F9:F11)</f>
        <v>-33834</v>
      </c>
      <c r="G12" s="195"/>
      <c r="H12" s="194">
        <f>SUM(H9:H11)</f>
        <v>51666</v>
      </c>
      <c r="I12" s="196"/>
      <c r="J12" s="194">
        <f>SUM(J9:J11)</f>
        <v>23839</v>
      </c>
      <c r="K12" s="196"/>
      <c r="L12" s="194">
        <f>SUM(L9:L11)</f>
        <v>4089</v>
      </c>
      <c r="M12" s="196"/>
      <c r="N12" s="194">
        <f>SUM(N9:N11)</f>
        <v>251089</v>
      </c>
      <c r="O12" s="196"/>
      <c r="P12" s="194">
        <f>SUM(P9:P11)</f>
        <v>44522</v>
      </c>
      <c r="Q12" s="197"/>
      <c r="R12" s="194">
        <f>SUM(R9:R11)</f>
        <v>476169</v>
      </c>
    </row>
    <row r="13" spans="1:18" s="13" customFormat="1" ht="11.25" customHeight="1" thickTop="1">
      <c r="A13" s="337" t="s">
        <v>174</v>
      </c>
      <c r="B13" s="337"/>
      <c r="C13" s="188"/>
      <c r="D13" s="144"/>
      <c r="E13" s="144"/>
      <c r="F13" s="144"/>
      <c r="G13" s="144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61"/>
    </row>
    <row r="14" spans="1:18" s="13" customFormat="1" ht="12.75" customHeight="1">
      <c r="A14" s="307" t="s">
        <v>172</v>
      </c>
      <c r="B14" s="158">
        <v>28</v>
      </c>
      <c r="C14" s="158"/>
      <c r="D14" s="198">
        <v>0</v>
      </c>
      <c r="E14" s="144"/>
      <c r="F14" s="199">
        <v>265</v>
      </c>
      <c r="G14" s="144"/>
      <c r="H14" s="200">
        <v>0</v>
      </c>
      <c r="I14" s="156"/>
      <c r="J14" s="201">
        <v>1744</v>
      </c>
      <c r="K14" s="156"/>
      <c r="L14" s="201">
        <v>20</v>
      </c>
      <c r="M14" s="156"/>
      <c r="N14" s="200">
        <v>0</v>
      </c>
      <c r="O14" s="156"/>
      <c r="P14" s="162">
        <f>-D14-H14-J14-F14-L14</f>
        <v>-2029</v>
      </c>
      <c r="Q14" s="156"/>
      <c r="R14" s="202">
        <f>SUM(D14:Q14)</f>
        <v>0</v>
      </c>
    </row>
    <row r="15" spans="1:18" s="13" customFormat="1" ht="12" customHeight="1">
      <c r="A15" s="307" t="s">
        <v>175</v>
      </c>
      <c r="B15" s="158"/>
      <c r="C15" s="158"/>
      <c r="D15" s="203">
        <v>0</v>
      </c>
      <c r="E15" s="144"/>
      <c r="F15" s="204">
        <f>F17+F18+F16</f>
        <v>232</v>
      </c>
      <c r="G15" s="144"/>
      <c r="H15" s="203">
        <v>0</v>
      </c>
      <c r="I15" s="156"/>
      <c r="J15" s="203">
        <v>0</v>
      </c>
      <c r="K15" s="156"/>
      <c r="L15" s="203">
        <v>0</v>
      </c>
      <c r="M15" s="156"/>
      <c r="N15" s="203">
        <v>0</v>
      </c>
      <c r="O15" s="156"/>
      <c r="P15" s="204">
        <f>P17+P18+P16</f>
        <v>141</v>
      </c>
      <c r="Q15" s="156"/>
      <c r="R15" s="203">
        <f>SUM(F15:Q15)</f>
        <v>373</v>
      </c>
    </row>
    <row r="16" spans="1:18" s="13" customFormat="1" ht="13.5" customHeight="1">
      <c r="A16" s="183" t="s">
        <v>176</v>
      </c>
      <c r="B16" s="158"/>
      <c r="C16" s="158"/>
      <c r="D16" s="205">
        <v>0</v>
      </c>
      <c r="E16" s="144"/>
      <c r="F16" s="206">
        <v>1082</v>
      </c>
      <c r="G16" s="144"/>
      <c r="H16" s="205">
        <v>0</v>
      </c>
      <c r="I16" s="156"/>
      <c r="J16" s="205">
        <v>0</v>
      </c>
      <c r="K16" s="156"/>
      <c r="L16" s="205">
        <v>0</v>
      </c>
      <c r="M16" s="156"/>
      <c r="N16" s="205">
        <v>0</v>
      </c>
      <c r="O16" s="156"/>
      <c r="P16" s="206">
        <v>142</v>
      </c>
      <c r="Q16" s="156"/>
      <c r="R16" s="202">
        <f>SUM(F16:Q16)</f>
        <v>1224</v>
      </c>
    </row>
    <row r="17" spans="1:18" s="13" customFormat="1" ht="12.75" customHeight="1">
      <c r="A17" s="308" t="s">
        <v>177</v>
      </c>
      <c r="B17" s="158"/>
      <c r="C17" s="158"/>
      <c r="D17" s="198">
        <v>0</v>
      </c>
      <c r="E17" s="144"/>
      <c r="F17" s="202">
        <v>-861</v>
      </c>
      <c r="G17" s="163"/>
      <c r="H17" s="200">
        <v>0</v>
      </c>
      <c r="I17" s="156"/>
      <c r="J17" s="200">
        <v>0</v>
      </c>
      <c r="K17" s="156"/>
      <c r="L17" s="200">
        <v>0</v>
      </c>
      <c r="M17" s="156"/>
      <c r="N17" s="200">
        <v>0</v>
      </c>
      <c r="O17" s="164"/>
      <c r="P17" s="165">
        <v>0</v>
      </c>
      <c r="Q17" s="164"/>
      <c r="R17" s="202">
        <f>SUM(F17:Q17)</f>
        <v>-861</v>
      </c>
    </row>
    <row r="18" spans="1:18" s="13" customFormat="1" ht="12.75" customHeight="1">
      <c r="A18" s="309" t="s">
        <v>178</v>
      </c>
      <c r="B18" s="166"/>
      <c r="C18" s="166"/>
      <c r="D18" s="205">
        <v>0</v>
      </c>
      <c r="E18" s="205"/>
      <c r="F18" s="202">
        <v>11</v>
      </c>
      <c r="G18" s="202"/>
      <c r="H18" s="202">
        <v>0</v>
      </c>
      <c r="I18" s="202"/>
      <c r="J18" s="202">
        <v>0</v>
      </c>
      <c r="K18" s="202"/>
      <c r="L18" s="202">
        <v>0</v>
      </c>
      <c r="M18" s="202"/>
      <c r="N18" s="202">
        <v>0</v>
      </c>
      <c r="O18" s="202"/>
      <c r="P18" s="202">
        <v>-1</v>
      </c>
      <c r="Q18" s="202"/>
      <c r="R18" s="202">
        <f>SUM(D18:Q18)</f>
        <v>10</v>
      </c>
    </row>
    <row r="19" spans="1:19" s="13" customFormat="1" ht="14.25" customHeight="1">
      <c r="A19" s="307" t="s">
        <v>179</v>
      </c>
      <c r="B19" s="166"/>
      <c r="C19" s="166"/>
      <c r="D19" s="203">
        <v>0</v>
      </c>
      <c r="E19" s="205"/>
      <c r="F19" s="203">
        <v>0</v>
      </c>
      <c r="G19" s="205"/>
      <c r="H19" s="203">
        <f>H20</f>
        <v>4301</v>
      </c>
      <c r="I19" s="205"/>
      <c r="J19" s="203">
        <v>0</v>
      </c>
      <c r="K19" s="205"/>
      <c r="L19" s="203">
        <v>0</v>
      </c>
      <c r="M19" s="205"/>
      <c r="N19" s="203">
        <f>N20</f>
        <v>24888</v>
      </c>
      <c r="O19" s="205"/>
      <c r="P19" s="203">
        <f>P20+P21+P22</f>
        <v>-49295</v>
      </c>
      <c r="Q19" s="205"/>
      <c r="R19" s="203">
        <f>H19+N19+P19</f>
        <v>-20106</v>
      </c>
      <c r="S19" s="103"/>
    </row>
    <row r="20" spans="1:19" s="13" customFormat="1" ht="15.75" customHeight="1">
      <c r="A20" s="310" t="s">
        <v>180</v>
      </c>
      <c r="B20" s="167"/>
      <c r="C20" s="167"/>
      <c r="D20" s="202">
        <v>0</v>
      </c>
      <c r="E20" s="202"/>
      <c r="F20" s="202">
        <v>0</v>
      </c>
      <c r="G20" s="202"/>
      <c r="H20" s="202">
        <v>4301</v>
      </c>
      <c r="I20" s="202"/>
      <c r="J20" s="202">
        <v>0</v>
      </c>
      <c r="K20" s="202"/>
      <c r="L20" s="202">
        <v>0</v>
      </c>
      <c r="M20" s="202"/>
      <c r="N20" s="202">
        <v>24888</v>
      </c>
      <c r="O20" s="202"/>
      <c r="P20" s="202">
        <f>-H20-N20</f>
        <v>-29189</v>
      </c>
      <c r="Q20" s="202"/>
      <c r="R20" s="205">
        <f>SUM(D20:Q20)</f>
        <v>0</v>
      </c>
      <c r="S20" s="103"/>
    </row>
    <row r="21" spans="1:19" s="13" customFormat="1" ht="15" customHeight="1">
      <c r="A21" s="310" t="s">
        <v>189</v>
      </c>
      <c r="B21" s="167"/>
      <c r="C21" s="167"/>
      <c r="D21" s="202">
        <v>0</v>
      </c>
      <c r="E21" s="202"/>
      <c r="F21" s="202">
        <v>0</v>
      </c>
      <c r="G21" s="202"/>
      <c r="H21" s="202">
        <v>0</v>
      </c>
      <c r="I21" s="202"/>
      <c r="J21" s="202">
        <v>0</v>
      </c>
      <c r="K21" s="202"/>
      <c r="L21" s="202">
        <v>0</v>
      </c>
      <c r="M21" s="202"/>
      <c r="N21" s="202">
        <v>0</v>
      </c>
      <c r="O21" s="202"/>
      <c r="P21" s="202">
        <v>-13822</v>
      </c>
      <c r="Q21" s="202"/>
      <c r="R21" s="202">
        <f>P21</f>
        <v>-13822</v>
      </c>
      <c r="S21" s="103"/>
    </row>
    <row r="22" spans="1:18" s="13" customFormat="1" ht="13.5" customHeight="1">
      <c r="A22" s="311" t="s">
        <v>190</v>
      </c>
      <c r="B22" s="167"/>
      <c r="C22" s="167"/>
      <c r="D22" s="202">
        <v>0</v>
      </c>
      <c r="E22" s="202"/>
      <c r="F22" s="202">
        <v>0</v>
      </c>
      <c r="G22" s="202"/>
      <c r="H22" s="202">
        <v>0</v>
      </c>
      <c r="I22" s="202"/>
      <c r="J22" s="202">
        <v>0</v>
      </c>
      <c r="K22" s="202"/>
      <c r="L22" s="202">
        <v>0</v>
      </c>
      <c r="M22" s="202"/>
      <c r="N22" s="202">
        <v>0</v>
      </c>
      <c r="O22" s="202"/>
      <c r="P22" s="202">
        <v>-6284</v>
      </c>
      <c r="Q22" s="202"/>
      <c r="R22" s="202">
        <f>P22</f>
        <v>-6284</v>
      </c>
    </row>
    <row r="23" spans="1:18" s="13" customFormat="1" ht="15" customHeight="1">
      <c r="A23" s="312" t="s">
        <v>181</v>
      </c>
      <c r="B23" s="168"/>
      <c r="C23" s="168"/>
      <c r="D23" s="207">
        <f>+D24+D25</f>
        <v>0</v>
      </c>
      <c r="E23" s="208"/>
      <c r="F23" s="207">
        <f>+F24+F25</f>
        <v>0</v>
      </c>
      <c r="G23" s="208"/>
      <c r="H23" s="207">
        <f>+H24+H25</f>
        <v>0</v>
      </c>
      <c r="I23" s="208"/>
      <c r="J23" s="207">
        <f>J25</f>
        <v>307</v>
      </c>
      <c r="K23" s="208"/>
      <c r="L23" s="207">
        <f>+L24+L25</f>
        <v>-792</v>
      </c>
      <c r="M23" s="208"/>
      <c r="N23" s="207">
        <v>0</v>
      </c>
      <c r="O23" s="208"/>
      <c r="P23" s="207">
        <f>+P24+P25</f>
        <v>33268</v>
      </c>
      <c r="Q23" s="208"/>
      <c r="R23" s="207">
        <f>SUM(D23:Q23)</f>
        <v>32783</v>
      </c>
    </row>
    <row r="24" spans="1:18" s="13" customFormat="1" ht="16.5" customHeight="1">
      <c r="A24" s="313" t="s">
        <v>182</v>
      </c>
      <c r="B24" s="166"/>
      <c r="C24" s="166"/>
      <c r="D24" s="202">
        <v>0</v>
      </c>
      <c r="E24" s="202"/>
      <c r="F24" s="202">
        <v>0</v>
      </c>
      <c r="G24" s="202"/>
      <c r="H24" s="202">
        <v>0</v>
      </c>
      <c r="I24" s="202"/>
      <c r="J24" s="202">
        <v>0</v>
      </c>
      <c r="K24" s="202"/>
      <c r="L24" s="202">
        <v>0</v>
      </c>
      <c r="M24" s="202"/>
      <c r="N24" s="202">
        <v>0</v>
      </c>
      <c r="O24" s="202"/>
      <c r="P24" s="202">
        <v>33298</v>
      </c>
      <c r="Q24" s="202"/>
      <c r="R24" s="202">
        <f>SUM(D24:Q24)</f>
        <v>33298</v>
      </c>
    </row>
    <row r="25" spans="1:18" s="13" customFormat="1" ht="13.5" customHeight="1">
      <c r="A25" s="313" t="s">
        <v>183</v>
      </c>
      <c r="B25" s="166"/>
      <c r="C25" s="166"/>
      <c r="D25" s="202">
        <v>0</v>
      </c>
      <c r="E25" s="202"/>
      <c r="F25" s="202">
        <v>0</v>
      </c>
      <c r="G25" s="202"/>
      <c r="H25" s="202">
        <v>0</v>
      </c>
      <c r="I25" s="202"/>
      <c r="J25" s="202">
        <v>307</v>
      </c>
      <c r="K25" s="202"/>
      <c r="L25" s="202">
        <f>-99-656-37</f>
        <v>-792</v>
      </c>
      <c r="M25" s="209"/>
      <c r="N25" s="202">
        <v>0</v>
      </c>
      <c r="O25" s="209"/>
      <c r="P25" s="202">
        <v>-30</v>
      </c>
      <c r="Q25" s="209"/>
      <c r="R25" s="202">
        <f>SUM(D25:Q25)</f>
        <v>-515</v>
      </c>
    </row>
    <row r="26" spans="1:18" s="13" customFormat="1" ht="16.5" customHeight="1">
      <c r="A26" s="314" t="s">
        <v>184</v>
      </c>
      <c r="B26" s="166"/>
      <c r="C26" s="166"/>
      <c r="D26" s="205">
        <v>0</v>
      </c>
      <c r="E26" s="205"/>
      <c r="F26" s="205">
        <v>0</v>
      </c>
      <c r="G26" s="205"/>
      <c r="H26" s="205">
        <v>0</v>
      </c>
      <c r="I26" s="205"/>
      <c r="J26" s="205">
        <v>-3457</v>
      </c>
      <c r="K26" s="205"/>
      <c r="L26" s="205">
        <f>-1077+656+37</f>
        <v>-384</v>
      </c>
      <c r="M26" s="197"/>
      <c r="N26" s="205">
        <v>0</v>
      </c>
      <c r="O26" s="205"/>
      <c r="P26" s="205">
        <f>-J26-L26</f>
        <v>3841</v>
      </c>
      <c r="Q26" s="205"/>
      <c r="R26" s="205">
        <f>J26+P26+L26</f>
        <v>0</v>
      </c>
    </row>
    <row r="27" spans="1:18" s="13" customFormat="1" ht="18" customHeight="1" thickBot="1">
      <c r="A27" s="157" t="s">
        <v>185</v>
      </c>
      <c r="B27" s="158">
        <v>28</v>
      </c>
      <c r="C27" s="158"/>
      <c r="D27" s="169">
        <f>D12+D14</f>
        <v>134798</v>
      </c>
      <c r="E27" s="144"/>
      <c r="F27" s="169">
        <f>F12+F14+F15</f>
        <v>-33337</v>
      </c>
      <c r="G27" s="170"/>
      <c r="H27" s="169">
        <f>H12+H19+H14</f>
        <v>55967</v>
      </c>
      <c r="I27" s="171"/>
      <c r="J27" s="169">
        <f>J12+J14+J26+J23</f>
        <v>22433</v>
      </c>
      <c r="K27" s="171"/>
      <c r="L27" s="169">
        <f>L12+L23+L14+L26</f>
        <v>2933</v>
      </c>
      <c r="M27" s="171"/>
      <c r="N27" s="169">
        <f>N12+N19</f>
        <v>275977</v>
      </c>
      <c r="O27" s="171"/>
      <c r="P27" s="169">
        <f>P12+P15+P19+P23+P14+P26</f>
        <v>30448</v>
      </c>
      <c r="Q27" s="171"/>
      <c r="R27" s="169">
        <f>R12+R19+R23+R26+R14+R15</f>
        <v>489219</v>
      </c>
    </row>
    <row r="28" spans="1:19" s="13" customFormat="1" ht="14.25" customHeight="1" thickTop="1">
      <c r="A28" s="337" t="s">
        <v>186</v>
      </c>
      <c r="B28" s="337"/>
      <c r="C28" s="188"/>
      <c r="D28" s="144"/>
      <c r="E28" s="144"/>
      <c r="F28" s="144"/>
      <c r="G28" s="144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61"/>
      <c r="S28" s="103"/>
    </row>
    <row r="29" spans="1:19" s="13" customFormat="1" ht="14.25" customHeight="1">
      <c r="A29" s="315" t="s">
        <v>175</v>
      </c>
      <c r="B29" s="166"/>
      <c r="C29" s="166"/>
      <c r="D29" s="210">
        <f>D30</f>
        <v>0</v>
      </c>
      <c r="E29" s="144"/>
      <c r="F29" s="211">
        <f>F30</f>
        <v>-805</v>
      </c>
      <c r="G29" s="144"/>
      <c r="H29" s="210">
        <f>H30</f>
        <v>0</v>
      </c>
      <c r="I29" s="156"/>
      <c r="J29" s="210">
        <f>J30</f>
        <v>0</v>
      </c>
      <c r="K29" s="156"/>
      <c r="L29" s="210">
        <f>L30</f>
        <v>0</v>
      </c>
      <c r="M29" s="156"/>
      <c r="N29" s="210">
        <f>N30</f>
        <v>0</v>
      </c>
      <c r="O29" s="156"/>
      <c r="P29" s="210">
        <f>P30</f>
        <v>0</v>
      </c>
      <c r="Q29" s="156"/>
      <c r="R29" s="204">
        <f>R30</f>
        <v>-805</v>
      </c>
      <c r="S29" s="103"/>
    </row>
    <row r="30" spans="1:19" s="13" customFormat="1" ht="14.25" customHeight="1">
      <c r="A30" s="316" t="s">
        <v>187</v>
      </c>
      <c r="B30" s="166"/>
      <c r="C30" s="166"/>
      <c r="D30" s="198">
        <v>0</v>
      </c>
      <c r="E30" s="144"/>
      <c r="F30" s="202">
        <v>-805</v>
      </c>
      <c r="G30" s="144"/>
      <c r="H30" s="198">
        <v>0</v>
      </c>
      <c r="I30" s="156"/>
      <c r="J30" s="198">
        <v>0</v>
      </c>
      <c r="K30" s="156"/>
      <c r="L30" s="198">
        <v>0</v>
      </c>
      <c r="M30" s="156"/>
      <c r="N30" s="198">
        <v>0</v>
      </c>
      <c r="O30" s="156"/>
      <c r="P30" s="198">
        <v>0</v>
      </c>
      <c r="Q30" s="156"/>
      <c r="R30" s="212">
        <f>SUM(D30:Q30)</f>
        <v>-805</v>
      </c>
      <c r="S30" s="103"/>
    </row>
    <row r="31" spans="1:18" s="13" customFormat="1" ht="14.25" customHeight="1">
      <c r="A31" s="307" t="s">
        <v>179</v>
      </c>
      <c r="B31" s="166"/>
      <c r="C31" s="166"/>
      <c r="D31" s="203">
        <v>0</v>
      </c>
      <c r="E31" s="144"/>
      <c r="F31" s="203">
        <v>0</v>
      </c>
      <c r="G31" s="144"/>
      <c r="H31" s="203">
        <f>H32</f>
        <v>3330</v>
      </c>
      <c r="I31" s="156"/>
      <c r="J31" s="203">
        <v>0</v>
      </c>
      <c r="K31" s="156"/>
      <c r="L31" s="203">
        <v>0</v>
      </c>
      <c r="M31" s="156"/>
      <c r="N31" s="203">
        <f>N32</f>
        <v>22362</v>
      </c>
      <c r="O31" s="156"/>
      <c r="P31" s="203">
        <f>P32+P33</f>
        <v>-31976</v>
      </c>
      <c r="Q31" s="156"/>
      <c r="R31" s="203">
        <f>H31+N31+P31</f>
        <v>-6284</v>
      </c>
    </row>
    <row r="32" spans="1:18" s="13" customFormat="1" ht="13.5" customHeight="1">
      <c r="A32" s="310" t="s">
        <v>180</v>
      </c>
      <c r="B32" s="166"/>
      <c r="C32" s="166"/>
      <c r="D32" s="205">
        <v>0</v>
      </c>
      <c r="E32" s="144"/>
      <c r="F32" s="213">
        <v>0</v>
      </c>
      <c r="G32" s="144"/>
      <c r="H32" s="214">
        <v>3330</v>
      </c>
      <c r="I32" s="215"/>
      <c r="J32" s="214">
        <v>0</v>
      </c>
      <c r="K32" s="215"/>
      <c r="L32" s="214">
        <v>0</v>
      </c>
      <c r="M32" s="215"/>
      <c r="N32" s="214">
        <v>22362</v>
      </c>
      <c r="O32" s="215"/>
      <c r="P32" s="214">
        <f>-H32-N32</f>
        <v>-25692</v>
      </c>
      <c r="Q32" s="215"/>
      <c r="R32" s="214">
        <f>SUM(H32:Q32)</f>
        <v>0</v>
      </c>
    </row>
    <row r="33" spans="1:18" s="13" customFormat="1" ht="13.5" customHeight="1">
      <c r="A33" s="310" t="s">
        <v>188</v>
      </c>
      <c r="B33" s="166"/>
      <c r="C33" s="166"/>
      <c r="D33" s="205">
        <v>0</v>
      </c>
      <c r="E33" s="144"/>
      <c r="F33" s="213">
        <v>0</v>
      </c>
      <c r="G33" s="144"/>
      <c r="H33" s="260">
        <f>H34+H35</f>
        <v>0</v>
      </c>
      <c r="I33" s="215"/>
      <c r="J33" s="214">
        <v>0</v>
      </c>
      <c r="K33" s="215"/>
      <c r="L33" s="214">
        <v>0</v>
      </c>
      <c r="M33" s="215"/>
      <c r="N33" s="214">
        <v>0</v>
      </c>
      <c r="O33" s="215"/>
      <c r="P33" s="214">
        <v>-6284</v>
      </c>
      <c r="Q33" s="215"/>
      <c r="R33" s="214">
        <v>-6284</v>
      </c>
    </row>
    <row r="34" spans="1:18" s="13" customFormat="1" ht="15" customHeight="1">
      <c r="A34" s="317" t="s">
        <v>191</v>
      </c>
      <c r="B34" s="166"/>
      <c r="C34" s="166"/>
      <c r="D34" s="216">
        <f>D35+D36</f>
        <v>0</v>
      </c>
      <c r="E34" s="217"/>
      <c r="F34" s="216">
        <f>F35+F36</f>
        <v>0</v>
      </c>
      <c r="G34" s="217"/>
      <c r="H34" s="216">
        <f>H35+H36</f>
        <v>0</v>
      </c>
      <c r="I34" s="218"/>
      <c r="J34" s="219">
        <f>J35+J36</f>
        <v>176</v>
      </c>
      <c r="K34" s="218"/>
      <c r="L34" s="219">
        <f>L35+L36</f>
        <v>-60</v>
      </c>
      <c r="M34" s="218"/>
      <c r="N34" s="216">
        <f>N35+N36</f>
        <v>0</v>
      </c>
      <c r="O34" s="218"/>
      <c r="P34" s="220">
        <f>P35+P36</f>
        <v>40398</v>
      </c>
      <c r="Q34" s="218"/>
      <c r="R34" s="219">
        <f>SUM(D34:Q34)</f>
        <v>40514</v>
      </c>
    </row>
    <row r="35" spans="1:18" s="13" customFormat="1" ht="14.25" customHeight="1">
      <c r="A35" s="313" t="s">
        <v>182</v>
      </c>
      <c r="B35" s="166"/>
      <c r="C35" s="166"/>
      <c r="D35" s="198">
        <v>0</v>
      </c>
      <c r="E35" s="144"/>
      <c r="F35" s="198">
        <v>0</v>
      </c>
      <c r="G35" s="144"/>
      <c r="H35" s="198">
        <v>0</v>
      </c>
      <c r="I35" s="156"/>
      <c r="J35" s="198">
        <v>0</v>
      </c>
      <c r="K35" s="156"/>
      <c r="L35" s="198">
        <v>0</v>
      </c>
      <c r="M35" s="156"/>
      <c r="N35" s="198">
        <v>0</v>
      </c>
      <c r="O35" s="156"/>
      <c r="P35" s="199">
        <f>'IS'!C28</f>
        <v>40382</v>
      </c>
      <c r="Q35" s="156"/>
      <c r="R35" s="206">
        <f>SUM(P35:Q35)</f>
        <v>40382</v>
      </c>
    </row>
    <row r="36" spans="1:18" s="13" customFormat="1" ht="12.75" customHeight="1">
      <c r="A36" s="313" t="s">
        <v>183</v>
      </c>
      <c r="B36" s="166"/>
      <c r="C36" s="166"/>
      <c r="D36" s="205">
        <v>0</v>
      </c>
      <c r="E36" s="144"/>
      <c r="F36" s="205">
        <v>0</v>
      </c>
      <c r="G36" s="144"/>
      <c r="H36" s="205">
        <v>0</v>
      </c>
      <c r="I36" s="156"/>
      <c r="J36" s="205">
        <f>'IS'!C34+'IS'!C35</f>
        <v>176</v>
      </c>
      <c r="K36" s="156"/>
      <c r="L36" s="214">
        <v>-60</v>
      </c>
      <c r="M36" s="215"/>
      <c r="N36" s="214">
        <v>0</v>
      </c>
      <c r="O36" s="215"/>
      <c r="P36" s="214">
        <f>'IS'!C33</f>
        <v>16</v>
      </c>
      <c r="Q36" s="215"/>
      <c r="R36" s="214">
        <f>SUM(J36:Q36)</f>
        <v>132</v>
      </c>
    </row>
    <row r="37" spans="1:18" s="13" customFormat="1" ht="12.75" customHeight="1">
      <c r="A37" s="318" t="s">
        <v>184</v>
      </c>
      <c r="B37" s="166"/>
      <c r="C37" s="166"/>
      <c r="D37" s="205">
        <v>0</v>
      </c>
      <c r="E37" s="144"/>
      <c r="F37" s="205">
        <v>0</v>
      </c>
      <c r="G37" s="144"/>
      <c r="H37" s="205">
        <v>0</v>
      </c>
      <c r="I37" s="156"/>
      <c r="J37" s="205">
        <v>-569</v>
      </c>
      <c r="K37" s="205"/>
      <c r="L37" s="198">
        <v>0</v>
      </c>
      <c r="M37" s="197"/>
      <c r="N37" s="205">
        <v>0</v>
      </c>
      <c r="O37" s="205"/>
      <c r="P37" s="205">
        <f>-J37-L37</f>
        <v>569</v>
      </c>
      <c r="Q37" s="156"/>
      <c r="R37" s="205">
        <v>0</v>
      </c>
    </row>
    <row r="38" spans="1:18" s="13" customFormat="1" ht="17.25" customHeight="1" thickBot="1">
      <c r="A38" s="306" t="s">
        <v>192</v>
      </c>
      <c r="B38" s="158">
        <v>28</v>
      </c>
      <c r="C38" s="158"/>
      <c r="D38" s="169">
        <f>D27+D29+D34+D37</f>
        <v>134798</v>
      </c>
      <c r="E38" s="144"/>
      <c r="F38" s="169">
        <f>F27+F29+F34+F37</f>
        <v>-34142</v>
      </c>
      <c r="G38" s="144"/>
      <c r="H38" s="169">
        <f>H27+H29+H34+H37+H31</f>
        <v>59297</v>
      </c>
      <c r="I38" s="156"/>
      <c r="J38" s="169">
        <f>J27+J29+J34+J37</f>
        <v>22040</v>
      </c>
      <c r="K38" s="156"/>
      <c r="L38" s="169">
        <f>L27+L29+L34+L37</f>
        <v>2873</v>
      </c>
      <c r="M38" s="156"/>
      <c r="N38" s="169">
        <f>N27+N29+N34+N37+N31</f>
        <v>298339</v>
      </c>
      <c r="O38" s="156"/>
      <c r="P38" s="169">
        <f>P27+P29+P34+P37+P31</f>
        <v>39439</v>
      </c>
      <c r="Q38" s="156"/>
      <c r="R38" s="169">
        <f>R27+R29+R34+R37+R31</f>
        <v>522644</v>
      </c>
    </row>
    <row r="39" spans="1:18" s="13" customFormat="1" ht="12" customHeight="1" thickTop="1">
      <c r="A39" s="157"/>
      <c r="B39" s="166"/>
      <c r="C39" s="166"/>
      <c r="D39" s="144"/>
      <c r="E39" s="144"/>
      <c r="F39" s="144"/>
      <c r="G39" s="144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61"/>
    </row>
    <row r="40" spans="1:18" s="13" customFormat="1" ht="12" customHeight="1">
      <c r="A40" s="157"/>
      <c r="B40" s="166"/>
      <c r="C40" s="166"/>
      <c r="D40" s="144"/>
      <c r="E40" s="144"/>
      <c r="F40" s="144"/>
      <c r="G40" s="144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61"/>
    </row>
    <row r="41" spans="1:18" s="9" customFormat="1" ht="13.5">
      <c r="A41" s="172" t="str">
        <f>CFS!A59</f>
        <v>The accompanying notes on pages 5 to 148 form an integral part of these separate financial statements.</v>
      </c>
      <c r="B41" s="173"/>
      <c r="C41" s="173"/>
      <c r="D41" s="166"/>
      <c r="E41" s="166"/>
      <c r="F41" s="166"/>
      <c r="G41" s="166"/>
      <c r="H41" s="160"/>
      <c r="I41" s="166"/>
      <c r="J41" s="160"/>
      <c r="K41" s="166"/>
      <c r="L41" s="160"/>
      <c r="M41" s="166"/>
      <c r="N41" s="160"/>
      <c r="O41" s="166"/>
      <c r="P41" s="160"/>
      <c r="Q41" s="166"/>
      <c r="R41" s="174"/>
    </row>
    <row r="42" spans="1:18" s="9" customFormat="1" ht="8.25" customHeight="1">
      <c r="A42" s="172"/>
      <c r="B42" s="173"/>
      <c r="C42" s="173"/>
      <c r="D42" s="166"/>
      <c r="E42" s="166"/>
      <c r="F42" s="166"/>
      <c r="G42" s="166"/>
      <c r="H42" s="160"/>
      <c r="I42" s="166"/>
      <c r="J42" s="160"/>
      <c r="K42" s="166"/>
      <c r="L42" s="160"/>
      <c r="M42" s="166"/>
      <c r="N42" s="160"/>
      <c r="O42" s="166"/>
      <c r="P42" s="160"/>
      <c r="Q42" s="166"/>
      <c r="R42" s="174"/>
    </row>
    <row r="43" spans="1:18" s="9" customFormat="1" ht="14.25" customHeight="1">
      <c r="A43" s="172"/>
      <c r="B43" s="173"/>
      <c r="C43" s="173"/>
      <c r="D43" s="166"/>
      <c r="E43" s="166"/>
      <c r="F43" s="166"/>
      <c r="G43" s="166"/>
      <c r="H43" s="160"/>
      <c r="I43" s="166"/>
      <c r="J43" s="160"/>
      <c r="K43" s="166"/>
      <c r="L43" s="160"/>
      <c r="M43" s="166"/>
      <c r="N43" s="160"/>
      <c r="O43" s="166"/>
      <c r="P43" s="160"/>
      <c r="Q43" s="166"/>
      <c r="R43" s="174"/>
    </row>
    <row r="44" spans="1:18" s="9" customFormat="1" ht="11.25" customHeight="1">
      <c r="A44" s="172"/>
      <c r="B44" s="173"/>
      <c r="C44" s="173"/>
      <c r="D44" s="166"/>
      <c r="E44" s="166"/>
      <c r="F44" s="166"/>
      <c r="G44" s="166"/>
      <c r="H44" s="160"/>
      <c r="I44" s="166"/>
      <c r="J44" s="160"/>
      <c r="K44" s="166"/>
      <c r="L44" s="160"/>
      <c r="M44" s="166"/>
      <c r="N44" s="160"/>
      <c r="O44" s="166"/>
      <c r="P44" s="160"/>
      <c r="Q44" s="166"/>
      <c r="R44" s="174"/>
    </row>
    <row r="45" spans="1:18" s="9" customFormat="1" ht="15" customHeight="1">
      <c r="A45" s="172"/>
      <c r="B45" s="173"/>
      <c r="C45" s="173"/>
      <c r="D45" s="166"/>
      <c r="E45" s="166"/>
      <c r="F45" s="166"/>
      <c r="G45" s="166"/>
      <c r="H45" s="160"/>
      <c r="I45" s="166"/>
      <c r="J45" s="160"/>
      <c r="K45" s="166"/>
      <c r="L45" s="160"/>
      <c r="M45" s="166"/>
      <c r="N45" s="160"/>
      <c r="O45" s="166"/>
      <c r="P45" s="160"/>
      <c r="Q45" s="166"/>
      <c r="R45" s="174"/>
    </row>
    <row r="46" spans="1:18" s="131" customFormat="1" ht="13.5" customHeight="1">
      <c r="A46" s="282" t="s">
        <v>69</v>
      </c>
      <c r="B46" s="338" t="s">
        <v>70</v>
      </c>
      <c r="C46" s="339"/>
      <c r="D46" s="339"/>
      <c r="E46" s="176"/>
      <c r="F46" s="176"/>
      <c r="G46" s="176"/>
      <c r="H46" s="284" t="s">
        <v>71</v>
      </c>
      <c r="I46" s="320"/>
      <c r="J46" s="320"/>
      <c r="K46" s="176"/>
      <c r="L46" s="176"/>
      <c r="M46" s="176"/>
      <c r="N46" s="176"/>
      <c r="O46" s="176"/>
      <c r="P46" s="176"/>
      <c r="Q46" s="175"/>
      <c r="R46" s="175"/>
    </row>
    <row r="47" spans="1:18" s="131" customFormat="1" ht="17.25" customHeight="1">
      <c r="A47" s="319" t="s">
        <v>11</v>
      </c>
      <c r="B47" s="320"/>
      <c r="C47" s="321" t="s">
        <v>18</v>
      </c>
      <c r="D47" s="320"/>
      <c r="E47" s="176"/>
      <c r="F47" s="176"/>
      <c r="G47" s="176"/>
      <c r="H47" s="320"/>
      <c r="I47" s="322"/>
      <c r="J47" s="285" t="s">
        <v>20</v>
      </c>
      <c r="K47" s="176"/>
      <c r="L47" s="176"/>
      <c r="M47" s="176"/>
      <c r="N47" s="176"/>
      <c r="O47" s="176"/>
      <c r="P47" s="176"/>
      <c r="Q47" s="175"/>
      <c r="R47" s="175"/>
    </row>
    <row r="48" spans="1:18" s="131" customFormat="1" ht="11.25" customHeight="1">
      <c r="A48" s="177"/>
      <c r="B48" s="176"/>
      <c r="C48" s="176"/>
      <c r="D48" s="172"/>
      <c r="E48" s="176"/>
      <c r="F48" s="176"/>
      <c r="G48" s="176"/>
      <c r="H48" s="176"/>
      <c r="I48" s="172"/>
      <c r="J48" s="175"/>
      <c r="K48" s="176"/>
      <c r="L48" s="176"/>
      <c r="M48" s="176"/>
      <c r="N48" s="176"/>
      <c r="O48" s="176"/>
      <c r="P48" s="176"/>
      <c r="Q48" s="175"/>
      <c r="R48" s="175"/>
    </row>
    <row r="49" spans="1:18" s="131" customFormat="1" ht="11.25" customHeight="1">
      <c r="A49" s="177"/>
      <c r="B49" s="176"/>
      <c r="C49" s="176"/>
      <c r="D49" s="172"/>
      <c r="E49" s="176"/>
      <c r="F49" s="176"/>
      <c r="G49" s="176"/>
      <c r="H49" s="176"/>
      <c r="I49" s="172"/>
      <c r="J49" s="175"/>
      <c r="K49" s="176"/>
      <c r="L49" s="176"/>
      <c r="M49" s="176"/>
      <c r="N49" s="176"/>
      <c r="O49" s="176"/>
      <c r="P49" s="176"/>
      <c r="Q49" s="175"/>
      <c r="R49" s="175"/>
    </row>
    <row r="50" spans="1:18" s="131" customFormat="1" ht="11.25" customHeight="1">
      <c r="A50" s="261"/>
      <c r="B50" s="262"/>
      <c r="C50" s="176"/>
      <c r="D50" s="172"/>
      <c r="E50" s="176"/>
      <c r="F50" s="176"/>
      <c r="G50" s="176"/>
      <c r="H50" s="176"/>
      <c r="I50" s="172"/>
      <c r="J50" s="175"/>
      <c r="K50" s="176"/>
      <c r="L50" s="176"/>
      <c r="M50" s="176"/>
      <c r="N50" s="176"/>
      <c r="O50" s="176"/>
      <c r="P50" s="176"/>
      <c r="Q50" s="175"/>
      <c r="R50" s="175"/>
    </row>
    <row r="51" spans="1:18" s="131" customFormat="1" ht="11.25" customHeight="1">
      <c r="A51" s="261"/>
      <c r="B51" s="262"/>
      <c r="C51" s="176"/>
      <c r="D51" s="172"/>
      <c r="E51" s="176"/>
      <c r="F51" s="176"/>
      <c r="G51" s="176"/>
      <c r="H51" s="176"/>
      <c r="I51" s="172"/>
      <c r="J51" s="175"/>
      <c r="K51" s="176"/>
      <c r="L51" s="176"/>
      <c r="M51" s="176"/>
      <c r="N51" s="176"/>
      <c r="O51" s="176"/>
      <c r="P51" s="176"/>
      <c r="Q51" s="175"/>
      <c r="R51" s="175"/>
    </row>
    <row r="52" spans="1:18" s="131" customFormat="1" ht="11.25" customHeight="1">
      <c r="A52" s="261"/>
      <c r="B52" s="262"/>
      <c r="C52" s="176"/>
      <c r="D52" s="172"/>
      <c r="E52" s="176"/>
      <c r="F52" s="176"/>
      <c r="G52" s="176"/>
      <c r="H52" s="176"/>
      <c r="I52" s="172"/>
      <c r="J52" s="175"/>
      <c r="K52" s="176"/>
      <c r="L52" s="176"/>
      <c r="M52" s="176"/>
      <c r="N52" s="176"/>
      <c r="O52" s="176"/>
      <c r="P52" s="176"/>
      <c r="Q52" s="175"/>
      <c r="R52" s="175"/>
    </row>
    <row r="53" spans="1:3" ht="13.5">
      <c r="A53" s="132"/>
      <c r="B53"/>
      <c r="C53"/>
    </row>
    <row r="62" spans="1:3" ht="13.5">
      <c r="A62" s="31"/>
      <c r="B62" s="31"/>
      <c r="C62" s="31"/>
    </row>
  </sheetData>
  <sheetProtection/>
  <mergeCells count="14">
    <mergeCell ref="L4:L5"/>
    <mergeCell ref="N4:N5"/>
    <mergeCell ref="P4:P5"/>
    <mergeCell ref="B4:C5"/>
    <mergeCell ref="A13:B13"/>
    <mergeCell ref="A28:B28"/>
    <mergeCell ref="B46:D46"/>
    <mergeCell ref="R4:R5"/>
    <mergeCell ref="A2:R2"/>
    <mergeCell ref="D4:D5"/>
    <mergeCell ref="F4:F5"/>
    <mergeCell ref="A4:A5"/>
    <mergeCell ref="H4:H5"/>
    <mergeCell ref="J4:J5"/>
  </mergeCells>
  <printOptions/>
  <pageMargins left="0.5511811023622047" right="0.15748031496062992" top="0.35433070866141736" bottom="0.52325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&amp;L                                                          &amp;"Arial,Italic"&amp;9            This is a translation from Bulgarian of the separate financial statements of Sopharma AD for year 2019.&amp;R4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BT user</cp:lastModifiedBy>
  <cp:lastPrinted>2020-03-16T14:08:32Z</cp:lastPrinted>
  <dcterms:created xsi:type="dcterms:W3CDTF">2003-02-07T14:36:34Z</dcterms:created>
  <dcterms:modified xsi:type="dcterms:W3CDTF">2020-03-16T14:44:01Z</dcterms:modified>
  <cp:category/>
  <cp:version/>
  <cp:contentType/>
  <cp:contentStatus/>
</cp:coreProperties>
</file>