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sveti\Documents\MESECHNI OTCHETI 2018\2018\"/>
    </mc:Choice>
  </mc:AlternateContent>
  <xr:revisionPtr revIDLastSave="0" documentId="13_ncr:1_{F6121B91-38DA-4036-AE67-3B6AB183137A}" xr6:coauthVersionLast="41" xr6:coauthVersionMax="41" xr10:uidLastSave="{00000000-0000-0000-0000-000000000000}"/>
  <bookViews>
    <workbookView xWindow="4365" yWindow="3195" windowWidth="21600" windowHeight="11385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6 Молдова" sheetId="21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G54" i="4" l="1"/>
  <c r="E69" i="11" l="1"/>
  <c r="E68" i="11"/>
  <c r="E67" i="11"/>
  <c r="E66" i="11"/>
  <c r="E65" i="11"/>
  <c r="E64" i="11"/>
  <c r="E15" i="11"/>
  <c r="E18" i="11"/>
  <c r="K16" i="8"/>
  <c r="K15" i="8"/>
  <c r="K13" i="8"/>
  <c r="K14" i="8"/>
  <c r="K12" i="8"/>
  <c r="D16" i="8"/>
  <c r="D15" i="8"/>
  <c r="D13" i="8"/>
  <c r="D14" i="8"/>
  <c r="D33" i="8" l="1"/>
  <c r="D30" i="8"/>
  <c r="K24" i="8"/>
  <c r="K23" i="8"/>
  <c r="D41" i="8"/>
  <c r="D24" i="8"/>
  <c r="D23" i="8"/>
  <c r="K18" i="8"/>
  <c r="D17" i="8"/>
  <c r="D18" i="8"/>
  <c r="D12" i="8"/>
  <c r="D11" i="8"/>
  <c r="G69" i="4" l="1"/>
  <c r="D19" i="4" l="1"/>
  <c r="D18" i="4"/>
  <c r="D17" i="4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1" i="4"/>
  <c r="C50" i="4"/>
  <c r="C49" i="4"/>
  <c r="D39" i="4"/>
  <c r="D38" i="4"/>
  <c r="D37" i="4"/>
  <c r="D36" i="4"/>
  <c r="D31" i="4"/>
  <c r="D27" i="4"/>
  <c r="D26" i="4"/>
  <c r="D25" i="4"/>
  <c r="D24" i="4"/>
  <c r="D22" i="4"/>
  <c r="D21" i="4"/>
  <c r="D16" i="4"/>
  <c r="D15" i="4"/>
  <c r="D14" i="4"/>
  <c r="D13" i="4"/>
  <c r="D12" i="4"/>
  <c r="AA3" i="1" l="1"/>
  <c r="AA2" i="1"/>
  <c r="B31" i="21" s="1"/>
  <c r="AA1" i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6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/>
  <c r="D54" i="9"/>
  <c r="D68" i="9" s="1"/>
  <c r="H1065" i="2" s="1"/>
  <c r="C54" i="9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C18" i="9"/>
  <c r="E18" i="9" s="1"/>
  <c r="H982" i="2" s="1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H789" i="2"/>
  <c r="G41" i="8"/>
  <c r="H579" i="2" s="1"/>
  <c r="N39" i="8"/>
  <c r="H787" i="2" s="1"/>
  <c r="G39" i="8"/>
  <c r="H577" i="2" s="1"/>
  <c r="J39" i="8"/>
  <c r="H66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H783" i="2"/>
  <c r="G35" i="8"/>
  <c r="H573" i="2" s="1"/>
  <c r="J35" i="8"/>
  <c r="H66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D34" i="8"/>
  <c r="H482" i="2" s="1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H40" i="8" s="1"/>
  <c r="H608" i="2" s="1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H395" i="2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D9" i="14" s="1"/>
  <c r="C92" i="4"/>
  <c r="H69" i="2" s="1"/>
  <c r="D79" i="4"/>
  <c r="D85" i="4" s="1"/>
  <c r="C79" i="4"/>
  <c r="C85" i="4" s="1"/>
  <c r="H64" i="2" s="1"/>
  <c r="H58" i="2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D21" i="9"/>
  <c r="H953" i="2" s="1"/>
  <c r="H1033" i="2"/>
  <c r="H775" i="2"/>
  <c r="Q26" i="8"/>
  <c r="H865" i="2" s="1"/>
  <c r="H950" i="2"/>
  <c r="H918" i="2"/>
  <c r="C73" i="2"/>
  <c r="C74" i="2"/>
  <c r="C76" i="2"/>
  <c r="C78" i="2"/>
  <c r="C80" i="2"/>
  <c r="C81" i="2"/>
  <c r="C84" i="2"/>
  <c r="C85" i="2"/>
  <c r="C86" i="2"/>
  <c r="C89" i="2"/>
  <c r="C90" i="2"/>
  <c r="C92" i="2"/>
  <c r="C94" i="2"/>
  <c r="C96" i="2"/>
  <c r="C97" i="2"/>
  <c r="C100" i="2"/>
  <c r="C101" i="2"/>
  <c r="C102" i="2"/>
  <c r="C105" i="2"/>
  <c r="C106" i="2"/>
  <c r="C108" i="2"/>
  <c r="C110" i="2"/>
  <c r="C112" i="2"/>
  <c r="C113" i="2"/>
  <c r="C116" i="2"/>
  <c r="C117" i="2"/>
  <c r="C118" i="2"/>
  <c r="C121" i="2"/>
  <c r="C122" i="2"/>
  <c r="C124" i="2"/>
  <c r="C127" i="2"/>
  <c r="C129" i="2"/>
  <c r="C130" i="2"/>
  <c r="C133" i="2"/>
  <c r="C134" i="2"/>
  <c r="C135" i="2"/>
  <c r="C138" i="2"/>
  <c r="C139" i="2"/>
  <c r="C141" i="2"/>
  <c r="C143" i="2"/>
  <c r="C145" i="2"/>
  <c r="C146" i="2"/>
  <c r="C149" i="2"/>
  <c r="C150" i="2"/>
  <c r="C151" i="2"/>
  <c r="C154" i="2"/>
  <c r="C155" i="2"/>
  <c r="C157" i="2"/>
  <c r="C159" i="2"/>
  <c r="C161" i="2"/>
  <c r="C162" i="2"/>
  <c r="C165" i="2"/>
  <c r="C166" i="2"/>
  <c r="C167" i="2"/>
  <c r="C170" i="2"/>
  <c r="C171" i="2"/>
  <c r="C173" i="2"/>
  <c r="C175" i="2"/>
  <c r="C177" i="2"/>
  <c r="C178" i="2"/>
  <c r="C71" i="2"/>
  <c r="C70" i="2"/>
  <c r="C69" i="2"/>
  <c r="C66" i="2"/>
  <c r="C65" i="2"/>
  <c r="C63" i="2"/>
  <c r="C61" i="2"/>
  <c r="C59" i="2"/>
  <c r="C58" i="2"/>
  <c r="C55" i="2"/>
  <c r="C54" i="2"/>
  <c r="C53" i="2"/>
  <c r="C50" i="2"/>
  <c r="C49" i="2"/>
  <c r="C47" i="2"/>
  <c r="C45" i="2"/>
  <c r="C43" i="2"/>
  <c r="C42" i="2"/>
  <c r="C39" i="2"/>
  <c r="C38" i="2"/>
  <c r="C37" i="2"/>
  <c r="C34" i="2"/>
  <c r="C33" i="2"/>
  <c r="C31" i="2"/>
  <c r="C29" i="2"/>
  <c r="C27" i="2"/>
  <c r="C26" i="2"/>
  <c r="C23" i="2"/>
  <c r="C22" i="2"/>
  <c r="C21" i="2"/>
  <c r="C18" i="2"/>
  <c r="C17" i="2"/>
  <c r="C15" i="2"/>
  <c r="C13" i="2"/>
  <c r="C11" i="2"/>
  <c r="C10" i="2"/>
  <c r="C7" i="2"/>
  <c r="C6" i="2"/>
  <c r="C5" i="2"/>
  <c r="A6" i="4"/>
  <c r="A5" i="10"/>
  <c r="A5" i="8"/>
  <c r="C1334" i="2"/>
  <c r="C1332" i="2"/>
  <c r="C1331" i="2"/>
  <c r="C1328" i="2"/>
  <c r="C1327" i="2"/>
  <c r="C1326" i="2"/>
  <c r="C1323" i="2"/>
  <c r="C1322" i="2"/>
  <c r="C1320" i="2"/>
  <c r="C1318" i="2"/>
  <c r="C1316" i="2"/>
  <c r="C1315" i="2"/>
  <c r="C1312" i="2"/>
  <c r="C1311" i="2"/>
  <c r="C1310" i="2"/>
  <c r="C1307" i="2"/>
  <c r="C1306" i="2"/>
  <c r="C1304" i="2"/>
  <c r="C1302" i="2"/>
  <c r="C1300" i="2"/>
  <c r="C1299" i="2"/>
  <c r="C1296" i="2"/>
  <c r="C1294" i="2"/>
  <c r="C1293" i="2"/>
  <c r="C1290" i="2"/>
  <c r="C1289" i="2"/>
  <c r="C1287" i="2"/>
  <c r="C1285" i="2"/>
  <c r="C1283" i="2"/>
  <c r="C1282" i="2"/>
  <c r="C1279" i="2"/>
  <c r="C1278" i="2"/>
  <c r="C1277" i="2"/>
  <c r="C1274" i="2"/>
  <c r="C1273" i="2"/>
  <c r="C1271" i="2"/>
  <c r="C1269" i="2"/>
  <c r="C1267" i="2"/>
  <c r="C1266" i="2"/>
  <c r="C1263" i="2"/>
  <c r="C1262" i="2"/>
  <c r="C1261" i="2"/>
  <c r="C1258" i="2"/>
  <c r="C1257" i="2"/>
  <c r="C1255" i="2"/>
  <c r="C1253" i="2"/>
  <c r="C1251" i="2"/>
  <c r="C1250" i="2"/>
  <c r="C1247" i="2"/>
  <c r="C1246" i="2"/>
  <c r="C1245" i="2"/>
  <c r="C1242" i="2"/>
  <c r="C1241" i="2"/>
  <c r="C1239" i="2"/>
  <c r="C1237" i="2"/>
  <c r="C1235" i="2"/>
  <c r="C1234" i="2"/>
  <c r="C1231" i="2"/>
  <c r="C1230" i="2"/>
  <c r="C1229" i="2"/>
  <c r="C1226" i="2"/>
  <c r="C1225" i="2"/>
  <c r="C1223" i="2"/>
  <c r="C1221" i="2"/>
  <c r="C1219" i="2"/>
  <c r="C1218" i="2"/>
  <c r="C1215" i="2"/>
  <c r="C1214" i="2"/>
  <c r="C1213" i="2"/>
  <c r="C1210" i="2"/>
  <c r="C1209" i="2"/>
  <c r="C1207" i="2"/>
  <c r="C1205" i="2"/>
  <c r="C1203" i="2"/>
  <c r="C1202" i="2"/>
  <c r="C1199" i="2"/>
  <c r="C1198" i="2"/>
  <c r="C1197" i="2"/>
  <c r="C1193" i="2"/>
  <c r="C1192" i="2"/>
  <c r="C1190" i="2"/>
  <c r="C1188" i="2"/>
  <c r="C1186" i="2"/>
  <c r="C1185" i="2"/>
  <c r="C1182" i="2"/>
  <c r="C1181" i="2"/>
  <c r="C1180" i="2"/>
  <c r="C1177" i="2"/>
  <c r="C1176" i="2"/>
  <c r="C1174" i="2"/>
  <c r="C1172" i="2"/>
  <c r="C1171" i="2"/>
  <c r="C1170" i="2"/>
  <c r="C1168" i="2"/>
  <c r="C1167" i="2"/>
  <c r="C1166" i="2"/>
  <c r="C1164" i="2"/>
  <c r="C1163" i="2"/>
  <c r="C1162" i="2"/>
  <c r="C1160" i="2"/>
  <c r="C1159" i="2"/>
  <c r="C1158" i="2"/>
  <c r="C1156" i="2"/>
  <c r="C1155" i="2"/>
  <c r="C1154" i="2"/>
  <c r="C1152" i="2"/>
  <c r="C1151" i="2"/>
  <c r="C1150" i="2"/>
  <c r="C1148" i="2"/>
  <c r="C1147" i="2"/>
  <c r="C1146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F17" i="7"/>
  <c r="H288" i="2" s="1"/>
  <c r="G68" i="4" l="1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H42" i="8"/>
  <c r="H610" i="2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E68" i="9" s="1"/>
  <c r="H1108" i="2" s="1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R36" i="8"/>
  <c r="H904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R39" i="8" l="1"/>
  <c r="H907" i="2" s="1"/>
  <c r="H1167" i="2"/>
  <c r="F98" i="9"/>
  <c r="R41" i="8"/>
  <c r="C31" i="4" s="1"/>
  <c r="F34" i="7"/>
  <c r="G23" i="4" s="1"/>
  <c r="F42" i="8"/>
  <c r="H550" i="2" s="1"/>
  <c r="D98" i="9"/>
  <c r="D99" i="9" s="1"/>
  <c r="H1093" i="2" s="1"/>
  <c r="E34" i="7"/>
  <c r="G21" i="4" s="1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909" i="2"/>
  <c r="H895" i="2"/>
  <c r="C27" i="4"/>
  <c r="H17" i="2" s="1"/>
  <c r="R17" i="8"/>
  <c r="R31" i="8"/>
  <c r="H49" i="2"/>
  <c r="C76" i="4"/>
  <c r="J34" i="8"/>
  <c r="H572" i="2"/>
  <c r="H782" i="2"/>
  <c r="Q34" i="8"/>
  <c r="H872" i="2" s="1"/>
  <c r="H1038" i="2"/>
  <c r="C98" i="9"/>
  <c r="H222" i="2"/>
  <c r="H888" i="2"/>
  <c r="C19" i="4"/>
  <c r="H10" i="2" s="1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C14" i="4"/>
  <c r="H5" i="2" s="1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Q19" i="8"/>
  <c r="R19" i="8" s="1"/>
  <c r="H889" i="2" s="1"/>
  <c r="H660" i="2"/>
  <c r="R32" i="8"/>
  <c r="G40" i="8"/>
  <c r="H488" i="2"/>
  <c r="H645" i="2"/>
  <c r="R15" i="8"/>
  <c r="H848" i="2"/>
  <c r="P42" i="8"/>
  <c r="H850" i="2" s="1"/>
  <c r="H871" i="2"/>
  <c r="R33" i="8"/>
  <c r="E87" i="9"/>
  <c r="H1129" i="2"/>
  <c r="R30" i="8"/>
  <c r="H658" i="2"/>
  <c r="J27" i="8"/>
  <c r="H566" i="2"/>
  <c r="R12" i="8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H376" i="2"/>
  <c r="J31" i="7"/>
  <c r="H665" i="2"/>
  <c r="R37" i="8"/>
  <c r="H905" i="2" s="1"/>
  <c r="M31" i="7"/>
  <c r="H442" i="2"/>
  <c r="H864" i="2"/>
  <c r="R25" i="8"/>
  <c r="N40" i="8"/>
  <c r="H244" i="2"/>
  <c r="D31" i="7"/>
  <c r="H1178" i="2" l="1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C17" i="4"/>
  <c r="H8" i="2" s="1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C16" i="4"/>
  <c r="H7" i="2" s="1"/>
  <c r="H900" i="2"/>
  <c r="C38" i="4"/>
  <c r="H14" i="2"/>
  <c r="H662" i="2"/>
  <c r="R34" i="8"/>
  <c r="H902" i="2" s="1"/>
  <c r="H887" i="2"/>
  <c r="C18" i="4"/>
  <c r="H9" i="2" s="1"/>
  <c r="H884" i="2"/>
  <c r="C15" i="4"/>
  <c r="H6" i="2" s="1"/>
  <c r="H882" i="2"/>
  <c r="C13" i="4"/>
  <c r="H4" i="2" s="1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G25" i="4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<sst xmlns="http://schemas.openxmlformats.org/spreadsheetml/2006/main" count="4724" uniqueCount="1029">
  <si>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</si>
  <si>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</si>
  <si>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</si>
  <si>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</si>
  <si>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</si>
  <si>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</si>
  <si>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</si>
  <si>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</si>
  <si>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</si>
  <si>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</si>
  <si>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</si>
  <si>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</si>
  <si>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</si>
  <si>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</si>
  <si>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</si>
  <si>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</si>
  <si>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</si>
  <si>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</si>
  <si>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</si>
  <si>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</si>
  <si>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</si>
  <si>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</si>
  <si>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</si>
  <si>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</si>
  <si>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</si>
  <si>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</si>
  <si>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</si>
  <si>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</si>
  <si>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</si>
  <si>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</si>
  <si>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</si>
  <si>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</si>
  <si>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</si>
  <si>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</si>
  <si>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</si>
  <si>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</si>
  <si>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</si>
  <si>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</si>
  <si>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</si>
  <si>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</si>
  <si>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</si>
  <si>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</si>
  <si>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</si>
  <si>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</si>
  <si>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</si>
  <si>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</si>
  <si>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</si>
  <si>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</si>
  <si>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</si>
  <si>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</si>
  <si>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</si>
  <si>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</si>
  <si>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</si>
  <si>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</si>
  <si>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</si>
  <si>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</si>
  <si>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</si>
  <si>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</si>
  <si>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</si>
  <si>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</si>
  <si>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</si>
  <si>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</si>
  <si>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</si>
  <si>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</si>
  <si>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</si>
  <si>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</si>
  <si>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</si>
  <si>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</si>
  <si>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</si>
  <si>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</si>
  <si>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</si>
  <si>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</si>
  <si>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</si>
  <si>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</si>
  <si>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</si>
  <si>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</si>
  <si>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</si>
  <si>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</si>
  <si>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</si>
  <si>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</si>
  <si>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</si>
  <si>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</si>
  <si>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</si>
  <si>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</si>
  <si>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</si>
  <si>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</si>
  <si>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</si>
  <si>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</si>
  <si>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</si>
  <si>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</si>
  <si>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</si>
  <si>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</si>
  <si>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</si>
  <si>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</si>
  <si>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</si>
  <si>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</si>
  <si>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</si>
  <si>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</si>
  <si>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</si>
  <si>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</si>
  <si>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</si>
  <si>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</si>
  <si>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</si>
  <si>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</si>
  <si>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</si>
  <si>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</si>
  <si>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</si>
  <si>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</si>
  <si>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</si>
  <si>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</si>
  <si>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</si>
  <si>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</si>
  <si>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</si>
  <si>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</si>
  <si>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</si>
  <si>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</si>
  <si>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</si>
  <si>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</si>
  <si>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</si>
  <si>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</si>
  <si>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</si>
  <si>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</si>
  <si>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</si>
  <si>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</si>
  <si>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</si>
  <si>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</si>
  <si>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</si>
  <si>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</si>
  <si>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</si>
  <si>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</si>
  <si>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</si>
  <si>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</si>
  <si>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</si>
  <si>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</si>
  <si>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</si>
  <si>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</si>
  <si>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</si>
  <si>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</si>
  <si>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</si>
  <si>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</si>
  <si>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</si>
  <si>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</si>
  <si>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</si>
  <si>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</si>
  <si>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</si>
  <si>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</si>
  <si>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</si>
  <si>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</si>
  <si>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</si>
  <si>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</si>
  <si>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</si>
  <si>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</si>
  <si>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</si>
  <si>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</si>
  <si>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</si>
  <si>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</si>
  <si>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</si>
  <si>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</si>
  <si>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</si>
  <si>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</si>
  <si>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</si>
  <si>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</si>
  <si>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</si>
  <si>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</si>
  <si>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</si>
  <si>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</si>
  <si>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</si>
  <si>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</si>
  <si>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</si>
  <si>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</si>
  <si>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</si>
  <si>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</si>
  <si>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</si>
  <si>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</si>
  <si>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</si>
  <si>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</si>
  <si>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</si>
  <si>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</si>
  <si>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</si>
  <si>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</si>
  <si>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</si>
  <si>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</si>
  <si>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</si>
  <si>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</si>
  <si>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</si>
  <si>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</si>
  <si>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</si>
  <si>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</si>
  <si>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</si>
  <si>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</si>
  <si>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</si>
  <si>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</si>
  <si>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</si>
  <si>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</si>
  <si>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</si>
  <si>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</si>
  <si>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</si>
  <si>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</si>
  <si>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</si>
  <si>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</si>
  <si>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</si>
  <si>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</si>
  <si>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</si>
  <si>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</si>
  <si>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</si>
  <si>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</si>
  <si>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</si>
  <si>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</si>
  <si>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</si>
  <si>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</si>
  <si>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</si>
  <si>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</si>
  <si>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</si>
  <si>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</si>
  <si>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</si>
  <si>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</si>
  <si>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</si>
  <si>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</si>
  <si>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</si>
  <si>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</si>
  <si>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</si>
  <si>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</si>
  <si>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</si>
  <si>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</si>
  <si>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</si>
  <si>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</si>
  <si>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</si>
  <si>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</si>
  <si>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</si>
  <si>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</si>
  <si>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</si>
  <si>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</si>
  <si>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</si>
  <si>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</si>
  <si>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</si>
  <si>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</si>
  <si>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</si>
  <si>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</si>
  <si>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</si>
  <si>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</si>
  <si>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</si>
  <si>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</si>
  <si>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</si>
  <si>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</si>
  <si>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</si>
  <si>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</si>
  <si>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</si>
  <si>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</si>
  <si>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</si>
  <si>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</si>
  <si>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</si>
  <si>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</si>
  <si>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</si>
  <si>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</si>
  <si>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</si>
  <si>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</si>
  <si>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</si>
  <si>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</si>
  <si>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</si>
  <si>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</si>
  <si>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</si>
  <si>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</si>
  <si>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</si>
  <si>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</si>
  <si>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</si>
  <si>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</si>
  <si>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</si>
  <si>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</si>
  <si>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</si>
  <si>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</si>
  <si>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</si>
  <si>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</si>
  <si>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</si>
  <si>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</si>
  <si>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</si>
  <si>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</si>
  <si>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</si>
  <si>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</si>
  <si>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</si>
  <si>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</si>
  <si>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</si>
  <si>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</si>
  <si>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</si>
  <si>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</si>
  <si>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</si>
  <si>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</si>
  <si>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</si>
  <si>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</si>
  <si>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</si>
  <si>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</si>
  <si>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</si>
  <si>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</si>
  <si>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</si>
  <si>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</si>
  <si>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</si>
  <si>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</si>
  <si>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</si>
  <si>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</si>
  <si>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</si>
  <si>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</si>
  <si>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</si>
  <si>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</si>
  <si>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</si>
  <si>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</si>
  <si>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</si>
  <si>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</si>
  <si>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</si>
  <si>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</si>
  <si>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</si>
  <si>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</si>
  <si>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</si>
  <si>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</si>
  <si>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</si>
  <si>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</si>
  <si>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</si>
  <si>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</si>
  <si>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</si>
  <si>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</si>
  <si>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</si>
  <si>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</si>
  <si>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</si>
  <si>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</si>
  <si>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</si>
  <si>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</si>
  <si>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</si>
  <si>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</si>
  <si>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</si>
  <si>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</si>
  <si>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</si>
  <si>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</si>
  <si>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</si>
  <si>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</si>
  <si>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</si>
  <si>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</si>
  <si>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</si>
  <si>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</si>
  <si>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</si>
  <si>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</si>
  <si>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</si>
  <si>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</si>
  <si>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</si>
  <si>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</si>
  <si>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</si>
  <si>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</si>
  <si>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</si>
  <si>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</si>
  <si>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</si>
  <si>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</si>
  <si>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</si>
  <si>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</si>
  <si>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</si>
  <si>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</si>
  <si>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</si>
  <si>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</si>
  <si>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</si>
  <si>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</si>
  <si>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</si>
  <si>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</si>
  <si>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</si>
  <si>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</si>
  <si>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</si>
  <si>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</si>
  <si>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</si>
  <si>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</si>
  <si>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</si>
  <si>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</si>
  <si>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</si>
  <si>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</si>
  <si>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</si>
  <si>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</si>
  <si>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</si>
  <si>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</si>
  <si>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</si>
  <si>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</si>
  <si>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</si>
  <si>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</si>
  <si>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</si>
  <si>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</si>
  <si>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</si>
  <si>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</si>
  <si>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</si>
  <si>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</si>
  <si>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</si>
  <si>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</si>
  <si>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</si>
  <si>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</si>
  <si>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</si>
  <si>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</si>
  <si>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</si>
  <si>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</si>
  <si>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</si>
  <si>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</si>
  <si>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</si>
  <si>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</si>
  <si>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</si>
  <si>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</si>
  <si>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</si>
  <si>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</si>
  <si>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</si>
  <si>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</si>
  <si>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</si>
  <si>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</si>
  <si>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</si>
  <si>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</si>
  <si>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</si>
  <si>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</si>
  <si>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</si>
  <si>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</si>
  <si>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</si>
  <si>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</si>
  <si>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</si>
  <si>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</si>
  <si>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</si>
  <si>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</si>
  <si>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</si>
  <si>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</si>
  <si>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</si>
  <si>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</si>
  <si>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</si>
  <si>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</si>
  <si>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</si>
  <si>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</si>
  <si>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</si>
  <si>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</si>
  <si>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</si>
  <si>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</si>
  <si>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</si>
  <si>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</si>
  <si>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</si>
  <si>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</si>
  <si>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</si>
  <si>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</si>
  <si>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</si>
  <si>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</si>
  <si>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</si>
  <si>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</si>
  <si>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</si>
  <si>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</si>
  <si>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</si>
  <si>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</si>
  <si>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</si>
  <si>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</si>
  <si>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</si>
  <si>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</si>
  <si>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</si>
  <si>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</si>
  <si>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</si>
  <si>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</si>
  <si>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</si>
  <si>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</si>
  <si>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</si>
  <si>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</si>
  <si>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</si>
  <si>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</si>
  <si>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</si>
  <si>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</si>
  <si>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</si>
  <si>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</si>
  <si>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</si>
  <si>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</si>
  <si>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</si>
  <si>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</si>
  <si>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</si>
  <si>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</si>
  <si>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</si>
  <si>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</si>
  <si>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</si>
  <si>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</si>
  <si>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</si>
  <si>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</si>
  <si>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</si>
  <si>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</si>
  <si>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</si>
  <si>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</si>
  <si>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</si>
  <si>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</si>
  <si>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</si>
  <si>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</si>
  <si>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</si>
  <si>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</si>
  <si>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</si>
  <si>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</si>
  <si>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</si>
  <si>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</si>
  <si>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</si>
  <si>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</si>
  <si>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</si>
  <si>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</si>
  <si>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</si>
  <si>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</si>
  <si>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</si>
  <si>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</si>
  <si>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</si>
  <si>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</si>
  <si>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</si>
  <si>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</si>
  <si>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</si>
  <si>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</si>
  <si>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</si>
  <si>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</si>
  <si>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</si>
  <si>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</si>
  <si>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</si>
  <si>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</si>
  <si>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</si>
  <si>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</si>
  <si>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</si>
  <si>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</si>
  <si>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</si>
  <si>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</si>
  <si>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</si>
  <si>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</si>
  <si>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</si>
  <si>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</si>
  <si>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</si>
  <si>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</si>
  <si>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</si>
  <si>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</si>
  <si>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</si>
  <si>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</si>
  <si>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</si>
  <si>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</si>
  <si>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</si>
  <si>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</si>
  <si>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</si>
  <si>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</si>
  <si>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</si>
  <si>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</si>
  <si>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</si>
  <si>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</si>
  <si>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</si>
  <si>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</si>
  <si>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</si>
  <si>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</si>
  <si>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</si>
  <si>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</si>
  <si>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</si>
  <si>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</si>
  <si>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</si>
  <si>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</si>
  <si>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</si>
  <si>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</si>
  <si>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</si>
  <si>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</si>
  <si>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</si>
  <si>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</si>
  <si>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</si>
  <si>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</si>
  <si>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</si>
  <si>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</si>
  <si>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</si>
  <si>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</si>
  <si>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</si>
  <si>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</si>
  <si>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</si>
  <si>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</si>
  <si>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</si>
  <si>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</si>
  <si>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</si>
  <si>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</si>
  <si>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</si>
  <si>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</si>
  <si>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</si>
  <si>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</si>
  <si>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</si>
  <si>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</si>
  <si>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</si>
  <si>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</si>
  <si>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</si>
  <si>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</si>
  <si>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</si>
  <si>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</si>
  <si>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</si>
  <si>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</si>
  <si>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</si>
  <si>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</si>
  <si>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</si>
  <si>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</si>
  <si>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</si>
  <si>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</si>
  <si>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</si>
  <si>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</si>
  <si>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</si>
  <si>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</si>
  <si>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</si>
  <si>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</si>
  <si>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</si>
  <si>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</si>
  <si>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</si>
  <si>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</si>
  <si>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</si>
  <si>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</si>
  <si>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</si>
  <si>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</si>
  <si>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</si>
  <si>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</si>
  <si>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</si>
  <si>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</si>
  <si>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</si>
  <si>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</si>
  <si>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</si>
  <si>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</si>
  <si>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</si>
  <si>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</si>
  <si>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</si>
  <si>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</si>
  <si>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</si>
  <si>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</si>
  <si>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</si>
  <si>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</si>
  <si>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</si>
  <si>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</si>
  <si>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</si>
  <si>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</si>
  <si>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</si>
  <si>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</si>
  <si>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</si>
  <si>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</si>
  <si>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</si>
  <si>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</si>
  <si>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</si>
  <si>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</si>
  <si>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</si>
  <si>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</si>
  <si>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</si>
  <si>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</si>
  <si>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</si>
  <si>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</si>
  <si>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</si>
  <si>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</si>
  <si>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</si>
  <si>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</si>
  <si>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</si>
  <si>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</si>
  <si>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</si>
  <si>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</si>
  <si>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</si>
  <si>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</si>
  <si>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</si>
  <si>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</si>
  <si>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</si>
  <si>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</si>
  <si>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</si>
  <si>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</si>
  <si>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</si>
  <si>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</si>
  <si>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</si>
  <si>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</si>
  <si>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</si>
  <si>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</si>
  <si>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</si>
  <si>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</si>
  <si>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</si>
  <si>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</si>
  <si>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</si>
  <si>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</si>
  <si>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</si>
  <si>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</si>
  <si>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</si>
  <si>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</si>
  <si>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</si>
  <si>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</si>
  <si>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</si>
  <si>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</si>
  <si>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</si>
  <si>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</si>
  <si>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</si>
  <si>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</si>
  <si>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</si>
  <si>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</si>
  <si>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</si>
  <si>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</si>
  <si>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</si>
  <si>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</si>
  <si>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</si>
  <si>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</si>
  <si>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</si>
  <si>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</si>
  <si>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</si>
  <si>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</si>
  <si>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</si>
  <si>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</si>
  <si>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</si>
  <si>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</si>
  <si>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</si>
  <si>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</si>
  <si>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</si>
  <si>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</si>
  <si>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</si>
  <si>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</si>
  <si>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</si>
  <si>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</si>
  <si>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</si>
  <si>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</si>
  <si>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</si>
  <si>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</si>
  <si>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</si>
  <si>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</si>
  <si>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</si>
  <si>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</si>
  <si>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</si>
  <si>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</si>
  <si>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</si>
  <si>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</si>
  <si>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</si>
  <si>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</si>
  <si>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</si>
  <si>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</si>
  <si>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</si>
  <si>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</si>
  <si>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</si>
  <si>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</si>
  <si>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</si>
  <si>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</si>
  <si>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</si>
  <si>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</si>
  <si>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</si>
  <si>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</si>
  <si>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</si>
  <si>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</si>
  <si>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</si>
  <si>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</si>
  <si>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</si>
  <si>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</si>
  <si>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</si>
  <si>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</si>
  <si>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</si>
  <si>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</si>
  <si>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</si>
  <si>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</si>
  <si>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</si>
  <si>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</si>
  <si>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</si>
  <si>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</si>
  <si>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</si>
  <si>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</si>
  <si>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</si>
  <si>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</si>
  <si>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</si>
  <si>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</si>
  <si>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</si>
  <si>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</si>
  <si>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</si>
  <si>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</si>
  <si>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</si>
  <si>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</si>
  <si>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</si>
  <si>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</si>
  <si>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</si>
  <si>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</si>
  <si>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</si>
  <si>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</si>
  <si>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</si>
  <si>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</si>
  <si>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</si>
  <si>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</si>
  <si>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</si>
  <si>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</si>
  <si>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</si>
  <si>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</si>
  <si>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</si>
  <si>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</si>
  <si>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</si>
  <si>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</si>
  <si>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</si>
  <si>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</si>
  <si>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</si>
  <si>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</si>
  <si>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</si>
  <si>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</si>
  <si>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</si>
  <si>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</si>
  <si>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</si>
  <si>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</si>
  <si>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</si>
  <si>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</si>
  <si>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</si>
  <si>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</si>
  <si>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</si>
  <si>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</si>
  <si>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</si>
  <si>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</si>
  <si>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</si>
  <si>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</si>
  <si>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</si>
  <si>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</si>
  <si>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</si>
  <si>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</si>
  <si>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</si>
  <si>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</si>
  <si>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</si>
  <si>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</si>
  <si>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</si>
  <si>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</si>
  <si>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</si>
  <si>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</si>
  <si>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</si>
  <si>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</si>
  <si>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</si>
  <si>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</si>
  <si>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</si>
  <si>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</si>
  <si>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</si>
  <si>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</si>
  <si>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</si>
  <si>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</si>
  <si>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</si>
  <si>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</si>
  <si>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</si>
  <si>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</si>
  <si>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</si>
  <si>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</si>
  <si>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</si>
  <si>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</si>
  <si>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</si>
  <si>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</si>
  <si>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</si>
  <si>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</si>
  <si>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</si>
  <si>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</si>
  <si>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</si>
  <si>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</si>
  <si>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</si>
  <si>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</si>
  <si>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</si>
  <si>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</si>
  <si>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</si>
  <si>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</si>
  <si>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</si>
  <si>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</si>
  <si>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</si>
  <si>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</si>
  <si>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</si>
  <si>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</si>
  <si>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</si>
  <si>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</si>
  <si>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</si>
  <si>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</si>
  <si>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</si>
  <si>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</si>
  <si>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</si>
  <si>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</si>
  <si>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</si>
  <si>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</si>
  <si>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</si>
  <si>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</si>
  <si>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</si>
  <si>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</si>
  <si>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</si>
  <si>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</si>
  <si>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</si>
  <si>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</si>
  <si>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</si>
  <si>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</si>
  <si>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</si>
  <si>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</si>
  <si>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</si>
  <si>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</si>
  <si>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</si>
  <si>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</si>
  <si>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</si>
  <si>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</si>
  <si>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</si>
  <si>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</si>
  <si>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</si>
  <si>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</si>
  <si>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</si>
  <si>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</si>
  <si>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</si>
  <si>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</si>
  <si>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</si>
  <si>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</si>
  <si>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</si>
  <si>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</si>
  <si>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</si>
  <si>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</si>
  <si>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</si>
  <si>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</si>
  <si>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</si>
  <si>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</si>
  <si>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</si>
  <si>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</si>
  <si>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</si>
  <si>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</si>
  <si>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</si>
  <si>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</si>
  <si>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</si>
  <si>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</si>
  <si>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</si>
  <si>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</si>
  <si>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</si>
  <si>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</si>
  <si>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</si>
  <si>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</si>
  <si>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</si>
  <si>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</si>
  <si>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</si>
  <si>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</si>
  <si>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</si>
  <si>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</si>
  <si>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</si>
  <si>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</si>
  <si>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</si>
  <si>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</si>
  <si>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</si>
  <si>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</si>
  <si>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</si>
  <si>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</si>
  <si>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</si>
  <si>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</si>
  <si>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</si>
  <si>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</si>
  <si>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</si>
  <si>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</si>
  <si>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</si>
  <si>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</si>
  <si>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</si>
  <si>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</si>
  <si>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</si>
  <si>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</si>
  <si>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</si>
  <si>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</si>
  <si>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</si>
  <si>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</si>
  <si>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</si>
  <si>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</si>
  <si>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</si>
  <si>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</si>
  <si>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</si>
  <si>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</si>
  <si>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</si>
  <si>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</si>
  <si>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</si>
  <si>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</si>
  <si>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</si>
  <si>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</si>
  <si>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</si>
  <si>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</si>
  <si>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</si>
  <si>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</si>
  <si>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</si>
  <si>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</si>
  <si>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</si>
  <si>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</si>
  <si>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</si>
  <si>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</si>
  <si>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</si>
  <si>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</si>
  <si>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</si>
  <si>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</si>
  <si>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</si>
  <si>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</si>
  <si>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</si>
  <si>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</si>
  <si>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</si>
  <si>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</si>
  <si>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</si>
  <si>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</si>
  <si>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</si>
  <si>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</si>
  <si>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</si>
  <si>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</si>
  <si>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</si>
  <si>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</si>
  <si>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</si>
  <si>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</si>
  <si>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</si>
  <si>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</si>
  <si>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</si>
  <si>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</si>
  <si>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</si>
  <si>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</si>
  <si>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</si>
  <si>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</si>
  <si>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</si>
  <si>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</si>
  <si>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</si>
  <si>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</si>
  <si>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</si>
  <si>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</si>
  <si>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</si>
  <si>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</si>
  <si>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</si>
  <si>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</si>
  <si>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</si>
  <si>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</si>
  <si>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</si>
  <si>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</si>
  <si>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</si>
  <si>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</si>
  <si>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</si>
  <si>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</si>
  <si>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</si>
  <si>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</si>
  <si>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</si>
  <si>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</si>
  <si>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</si>
  <si>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</si>
  <si>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</si>
  <si>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</si>
  <si>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</si>
  <si>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</si>
  <si>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</si>
  <si>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</si>
  <si>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</si>
  <si>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</si>
  <si>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</si>
  <si>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</si>
  <si>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</si>
  <si>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</si>
  <si>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</si>
  <si>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</si>
  <si>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</si>
  <si>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</si>
  <si>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6.Аромания ООД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</si>
  <si>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</si>
  <si>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</si>
  <si>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</si>
  <si>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</si>
  <si>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3.Тодоров АД</t>
  </si>
  <si>
    <t>4.Софарма имоти АДСИЦ</t>
  </si>
  <si>
    <t>5.Елана Агрокредит АД</t>
  </si>
  <si>
    <t>6.Арома АД</t>
  </si>
  <si>
    <t>7.Градус АД</t>
  </si>
  <si>
    <t>8.Екобулпак АД</t>
  </si>
  <si>
    <t>9.Уникредит Булбанк АД</t>
  </si>
  <si>
    <t>10.Експо груп АД</t>
  </si>
  <si>
    <t>11.Имвенчър I КДА</t>
  </si>
  <si>
    <t>СОФАРМА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</si>
</sst>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4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horizontal="left" vertical="center"/>
      <protection locked="0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RowHeight="15.75"/>
  <cols>
    <col min="1" max="1" width="30.7109375" style="614" customWidth="1"/>
    <col min="2" max="2" width="65.7109375" style="614" customWidth="1"/>
    <col min="3" max="26" width="9.140625" style="614"/>
    <col min="27" max="27" width="9.85546875" style="614" bestFit="1" customWidth="1"/>
    <col min="28" max="16384" width="9.140625" style="614"/>
  </cols>
  <sheetData>
    <row r="1" spans="1:27">
      <c r="A1" s="1" t="s">
        <v>963</v>
      </c>
      <c r="B1" s="2"/>
      <c r="Z1" s="625">
        <v>1</v>
      </c>
      <c r="AA1" s="626">
        <f>IF(ISBLANK(_endDate),"",_endDate)</f>
        <v>43465</v>
      </c>
    </row>
    <row r="2" spans="1:27">
      <c r="A2" s="613" t="s">
        <v>964</v>
      </c>
      <c r="B2" s="610"/>
      <c r="Z2" s="625">
        <v>2</v>
      </c>
      <c r="AA2" s="626">
        <f>IF(ISBLANK(_pdeReportingDate),"",_pdeReportingDate)</f>
        <v>43551</v>
      </c>
    </row>
    <row r="3" spans="1:27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7">
      <c r="A4" s="609" t="s">
        <v>965</v>
      </c>
      <c r="B4" s="610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43101</v>
      </c>
    </row>
    <row r="10" spans="1:27">
      <c r="A10" s="7" t="s">
        <v>2</v>
      </c>
      <c r="B10" s="519">
        <v>43465</v>
      </c>
    </row>
    <row r="11" spans="1:27">
      <c r="A11" s="7" t="s">
        <v>977</v>
      </c>
      <c r="B11" s="519">
        <v>43551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8" t="s">
        <v>1028</v>
      </c>
    </row>
    <row r="15" spans="1:27">
      <c r="A15" s="10" t="s">
        <v>969</v>
      </c>
      <c r="B15" s="520" t="s">
        <v>924</v>
      </c>
    </row>
    <row r="16" spans="1:27">
      <c r="A16" s="7" t="s">
        <v>3</v>
      </c>
      <c r="B16" s="518" t="s">
        <v>989</v>
      </c>
    </row>
    <row r="17" spans="1:2">
      <c r="A17" s="7" t="s">
        <v>920</v>
      </c>
      <c r="B17" s="518" t="s">
        <v>990</v>
      </c>
    </row>
    <row r="18" spans="1:2">
      <c r="A18" s="7" t="s">
        <v>919</v>
      </c>
      <c r="B18" s="518" t="s">
        <v>998</v>
      </c>
    </row>
    <row r="19" spans="1:2">
      <c r="A19" s="7" t="s">
        <v>4</v>
      </c>
      <c r="B19" s="518" t="s">
        <v>991</v>
      </c>
    </row>
    <row r="20" spans="1:2">
      <c r="A20" s="7" t="s">
        <v>5</v>
      </c>
      <c r="B20" s="518" t="s">
        <v>991</v>
      </c>
    </row>
    <row r="21" spans="1:2">
      <c r="A21" s="10" t="s">
        <v>6</v>
      </c>
      <c r="B21" s="520" t="s">
        <v>992</v>
      </c>
    </row>
    <row r="22" spans="1:2">
      <c r="A22" s="10" t="s">
        <v>917</v>
      </c>
      <c r="B22" s="520" t="s">
        <v>993</v>
      </c>
    </row>
    <row r="23" spans="1:2">
      <c r="A23" s="10" t="s">
        <v>7</v>
      </c>
      <c r="B23" s="615" t="s">
        <v>994</v>
      </c>
    </row>
    <row r="24" spans="1:2">
      <c r="A24" s="10" t="s">
        <v>918</v>
      </c>
      <c r="B24" s="616" t="s">
        <v>995</v>
      </c>
    </row>
    <row r="25" spans="1:2">
      <c r="A25" s="7" t="s">
        <v>921</v>
      </c>
      <c r="B25" s="617"/>
    </row>
    <row r="26" spans="1:2">
      <c r="A26" s="10" t="s">
        <v>970</v>
      </c>
      <c r="B26" s="520" t="s">
        <v>996</v>
      </c>
    </row>
    <row r="27" spans="1:2">
      <c r="A27" s="10" t="s">
        <v>971</v>
      </c>
      <c r="B27" s="520" t="s">
        <v>997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topLeftCell="A4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40167682</v>
      </c>
      <c r="D13" s="399"/>
      <c r="E13" s="399"/>
      <c r="F13" s="399">
        <v>69247</v>
      </c>
      <c r="G13" s="399">
        <v>124</v>
      </c>
      <c r="H13" s="399"/>
      <c r="I13" s="400">
        <f>F13+G13-H13</f>
        <v>69371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40177682</v>
      </c>
      <c r="D18" s="406">
        <f t="shared" si="1"/>
        <v>0</v>
      </c>
      <c r="E18" s="406">
        <f t="shared" si="1"/>
        <v>0</v>
      </c>
      <c r="F18" s="406">
        <f t="shared" si="1"/>
        <v>69631</v>
      </c>
      <c r="G18" s="406">
        <f t="shared" si="1"/>
        <v>124</v>
      </c>
      <c r="H18" s="406">
        <f t="shared" si="1"/>
        <v>0</v>
      </c>
      <c r="I18" s="407">
        <f t="shared" si="0"/>
        <v>69755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+'Справка 8'!C21</f>
        <v>8881336</v>
      </c>
      <c r="D21" s="399"/>
      <c r="E21" s="399"/>
      <c r="F21" s="399">
        <f>+'Справка 8'!F21</f>
        <v>33337</v>
      </c>
      <c r="G21" s="399"/>
      <c r="H21" s="399"/>
      <c r="I21" s="400">
        <f t="shared" si="0"/>
        <v>33337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8881336</v>
      </c>
      <c r="D27" s="406">
        <f t="shared" si="2"/>
        <v>0</v>
      </c>
      <c r="E27" s="406">
        <f t="shared" si="2"/>
        <v>0</v>
      </c>
      <c r="F27" s="406">
        <f t="shared" si="2"/>
        <v>33337</v>
      </c>
      <c r="G27" s="406">
        <f t="shared" si="2"/>
        <v>0</v>
      </c>
      <c r="H27" s="406">
        <f t="shared" si="2"/>
        <v>0</v>
      </c>
      <c r="I27" s="407">
        <f t="shared" si="0"/>
        <v>33337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4" zoomScale="85" zoomScaleNormal="85" zoomScaleSheetLayoutView="85" workbookViewId="0">
      <selection activeCell="E17" sqref="E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108500</v>
      </c>
      <c r="D13" s="399"/>
      <c r="E13" s="399"/>
      <c r="F13" s="399">
        <v>1826</v>
      </c>
      <c r="G13" s="399"/>
      <c r="H13" s="399">
        <v>342</v>
      </c>
      <c r="I13" s="400">
        <f>F13+G13-H13</f>
        <v>1484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12881</v>
      </c>
      <c r="D17" s="399"/>
      <c r="E17" s="399"/>
      <c r="F17" s="399">
        <v>22270</v>
      </c>
      <c r="G17" s="399"/>
      <c r="H17" s="399"/>
      <c r="I17" s="400">
        <f t="shared" si="0"/>
        <v>22270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121381</v>
      </c>
      <c r="D18" s="406">
        <f t="shared" si="1"/>
        <v>0</v>
      </c>
      <c r="E18" s="406">
        <f t="shared" si="1"/>
        <v>0</v>
      </c>
      <c r="F18" s="406">
        <f t="shared" si="1"/>
        <v>24096</v>
      </c>
      <c r="G18" s="406">
        <f t="shared" si="1"/>
        <v>0</v>
      </c>
      <c r="H18" s="406">
        <f t="shared" si="1"/>
        <v>342</v>
      </c>
      <c r="I18" s="407">
        <f t="shared" si="0"/>
        <v>23754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G14" sqref="G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35930</v>
      </c>
      <c r="D13" s="399"/>
      <c r="E13" s="399"/>
      <c r="F13" s="399">
        <v>77</v>
      </c>
      <c r="G13" s="399">
        <v>6</v>
      </c>
      <c r="H13" s="399"/>
      <c r="I13" s="400">
        <f>F13+G13-H13</f>
        <v>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35930</v>
      </c>
      <c r="D18" s="406">
        <f t="shared" si="1"/>
        <v>0</v>
      </c>
      <c r="E18" s="406">
        <f t="shared" si="1"/>
        <v>0</v>
      </c>
      <c r="F18" s="406">
        <f t="shared" si="1"/>
        <v>77</v>
      </c>
      <c r="G18" s="406">
        <f t="shared" si="1"/>
        <v>6</v>
      </c>
      <c r="H18" s="406">
        <f t="shared" si="1"/>
        <v>0</v>
      </c>
      <c r="I18" s="407">
        <f t="shared" si="0"/>
        <v>83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topLeftCell="A13" zoomScale="85" zoomScaleNormal="85" zoomScaleSheetLayoutView="85" workbookViewId="0">
      <selection activeCell="D14" sqref="D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218871065</v>
      </c>
      <c r="D13" s="399"/>
      <c r="E13" s="399"/>
      <c r="F13" s="399">
        <v>1127</v>
      </c>
      <c r="G13" s="399"/>
      <c r="H13" s="399"/>
      <c r="I13" s="400">
        <f>F13+G13-H13</f>
        <v>1127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536402567</v>
      </c>
      <c r="D18" s="406">
        <f t="shared" si="1"/>
        <v>0</v>
      </c>
      <c r="E18" s="406">
        <f t="shared" si="1"/>
        <v>0</v>
      </c>
      <c r="F18" s="406">
        <f t="shared" si="1"/>
        <v>10796</v>
      </c>
      <c r="G18" s="406">
        <f t="shared" si="1"/>
        <v>0</v>
      </c>
      <c r="H18" s="406">
        <f t="shared" si="1"/>
        <v>0</v>
      </c>
      <c r="I18" s="407">
        <f t="shared" si="0"/>
        <v>10796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2754</v>
      </c>
      <c r="D17" s="399"/>
      <c r="E17" s="399"/>
      <c r="F17" s="399">
        <v>293</v>
      </c>
      <c r="G17" s="399"/>
      <c r="H17" s="399"/>
      <c r="I17" s="400">
        <f t="shared" si="0"/>
        <v>293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2754</v>
      </c>
      <c r="D18" s="406">
        <f t="shared" si="1"/>
        <v>0</v>
      </c>
      <c r="E18" s="406">
        <f t="shared" si="1"/>
        <v>0</v>
      </c>
      <c r="F18" s="406">
        <f t="shared" si="1"/>
        <v>293</v>
      </c>
      <c r="G18" s="406">
        <f t="shared" si="1"/>
        <v>0</v>
      </c>
      <c r="H18" s="406">
        <f t="shared" si="1"/>
        <v>0</v>
      </c>
      <c r="I18" s="407">
        <f t="shared" si="0"/>
        <v>293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СОФАРМА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01.01.2018 г. до 31.12.2018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10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10" ht="18.75" customHeight="1">
      <c r="A6" s="604" t="s">
        <v>984</v>
      </c>
      <c r="B6" s="596" t="s">
        <v>946</v>
      </c>
      <c r="C6" s="602">
        <f>'1-Баланс'!C95</f>
        <v>608226</v>
      </c>
      <c r="D6" s="603">
        <f t="shared" ref="D6:D15" si="0">C6-E6</f>
        <v>0</v>
      </c>
      <c r="E6" s="602">
        <f>'1-Баланс'!G95</f>
        <v>608226</v>
      </c>
      <c r="F6" s="597" t="s">
        <v>947</v>
      </c>
      <c r="G6" s="604" t="s">
        <v>984</v>
      </c>
    </row>
    <row r="7" spans="1:10" ht="18.75" customHeight="1">
      <c r="A7" s="604" t="s">
        <v>984</v>
      </c>
      <c r="B7" s="596" t="s">
        <v>945</v>
      </c>
      <c r="C7" s="602">
        <f>'1-Баланс'!G37</f>
        <v>489219</v>
      </c>
      <c r="D7" s="603">
        <f t="shared" si="0"/>
        <v>387758</v>
      </c>
      <c r="E7" s="602">
        <f>'1-Баланс'!G18</f>
        <v>101461</v>
      </c>
      <c r="F7" s="597" t="s">
        <v>455</v>
      </c>
      <c r="G7" s="604" t="s">
        <v>984</v>
      </c>
    </row>
    <row r="8" spans="1:10" ht="18.75" customHeight="1">
      <c r="A8" s="604" t="s">
        <v>984</v>
      </c>
      <c r="B8" s="596" t="s">
        <v>943</v>
      </c>
      <c r="C8" s="602">
        <f>ABS('1-Баланс'!G32)-ABS('1-Баланс'!G33)</f>
        <v>33298</v>
      </c>
      <c r="D8" s="603">
        <f t="shared" si="0"/>
        <v>0</v>
      </c>
      <c r="E8" s="602">
        <f>ABS('2-Отчет за доходите'!C44)-ABS('2-Отчет за доходите'!G44)</f>
        <v>33298</v>
      </c>
      <c r="F8" s="597" t="s">
        <v>944</v>
      </c>
      <c r="G8" s="605" t="s">
        <v>986</v>
      </c>
    </row>
    <row r="9" spans="1:10" ht="18.75" customHeight="1">
      <c r="A9" s="604" t="s">
        <v>984</v>
      </c>
      <c r="B9" s="596" t="s">
        <v>949</v>
      </c>
      <c r="C9" s="602">
        <f>'1-Баланс'!D92</f>
        <v>5764</v>
      </c>
      <c r="D9" s="603">
        <f t="shared" si="0"/>
        <v>0</v>
      </c>
      <c r="E9" s="602">
        <f>'3-Отчет за паричния поток'!C45</f>
        <v>5764</v>
      </c>
      <c r="F9" s="597" t="s">
        <v>948</v>
      </c>
      <c r="G9" s="605" t="s">
        <v>985</v>
      </c>
    </row>
    <row r="10" spans="1:10" ht="18.75" customHeight="1">
      <c r="A10" s="604" t="s">
        <v>984</v>
      </c>
      <c r="B10" s="596" t="s">
        <v>950</v>
      </c>
      <c r="C10" s="602">
        <f>'1-Баланс'!C92</f>
        <v>8971</v>
      </c>
      <c r="D10" s="603">
        <f t="shared" si="0"/>
        <v>0</v>
      </c>
      <c r="E10" s="602">
        <f>'3-Отчет за паричния поток'!C46</f>
        <v>8971</v>
      </c>
      <c r="F10" s="597" t="s">
        <v>951</v>
      </c>
      <c r="G10" s="605" t="s">
        <v>985</v>
      </c>
    </row>
    <row r="11" spans="1:10" ht="18.75" customHeight="1">
      <c r="A11" s="604" t="s">
        <v>984</v>
      </c>
      <c r="B11" s="596" t="s">
        <v>945</v>
      </c>
      <c r="C11" s="602">
        <f>'1-Баланс'!G37</f>
        <v>489219</v>
      </c>
      <c r="D11" s="603">
        <f t="shared" si="0"/>
        <v>0</v>
      </c>
      <c r="E11" s="602">
        <f>'4-Отчет за собствения капитал'!L34</f>
        <v>489219</v>
      </c>
      <c r="F11" s="597" t="s">
        <v>952</v>
      </c>
      <c r="G11" s="605" t="s">
        <v>987</v>
      </c>
    </row>
    <row r="12" spans="1:10" ht="18.75" customHeight="1">
      <c r="A12" s="604" t="s">
        <v>984</v>
      </c>
      <c r="B12" s="596" t="s">
        <v>953</v>
      </c>
      <c r="C12" s="602">
        <f>'1-Баланс'!C36</f>
        <v>89945</v>
      </c>
      <c r="D12" s="603">
        <f t="shared" si="0"/>
        <v>0</v>
      </c>
      <c r="E12" s="602">
        <f>'Справка 5'!C27+'Справка 5'!C97</f>
        <v>89945</v>
      </c>
      <c r="F12" s="597" t="s">
        <v>957</v>
      </c>
      <c r="G12" s="605" t="s">
        <v>988</v>
      </c>
    </row>
    <row r="13" spans="1:10" ht="18.75" customHeight="1">
      <c r="A13" s="604" t="s">
        <v>984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988</v>
      </c>
    </row>
    <row r="14" spans="1:10" ht="18.75" customHeight="1">
      <c r="A14" s="604" t="s">
        <v>984</v>
      </c>
      <c r="B14" s="596" t="s">
        <v>955</v>
      </c>
      <c r="C14" s="602">
        <f>'1-Баланс'!C38</f>
        <v>7962</v>
      </c>
      <c r="D14" s="603">
        <f t="shared" si="0"/>
        <v>0</v>
      </c>
      <c r="E14" s="602">
        <f>'Справка 5'!C61+'Справка 5'!C131</f>
        <v>7962</v>
      </c>
      <c r="F14" s="597" t="s">
        <v>959</v>
      </c>
      <c r="G14" s="605" t="s">
        <v>988</v>
      </c>
    </row>
    <row r="15" spans="1:10" ht="18.75" customHeight="1">
      <c r="A15" s="604" t="s">
        <v>984</v>
      </c>
      <c r="B15" s="596" t="s">
        <v>956</v>
      </c>
      <c r="C15" s="602">
        <f>'1-Баланс'!C39</f>
        <v>7599</v>
      </c>
      <c r="D15" s="603">
        <f t="shared" si="0"/>
        <v>0</v>
      </c>
      <c r="E15" s="602">
        <f>'Справка 5'!C148+'Справка 5'!C78</f>
        <v>7599</v>
      </c>
      <c r="F15" s="597" t="s">
        <v>960</v>
      </c>
      <c r="G15" s="605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79" t="s">
        <v>881</v>
      </c>
      <c r="B2" s="577"/>
      <c r="C2" s="577"/>
      <c r="D2" s="578"/>
    </row>
    <row r="3" spans="1:5" ht="31.5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0.15158812898056551</v>
      </c>
      <c r="E3" s="580"/>
    </row>
    <row r="4" spans="1:5" ht="31.5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6.8063587064280007E-2</v>
      </c>
    </row>
    <row r="5" spans="1:5" ht="31.5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0.27979866730528458</v>
      </c>
    </row>
    <row r="6" spans="1:5" ht="31.5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5.4746097667643275E-2</v>
      </c>
    </row>
    <row r="7" spans="1:5" ht="24" customHeight="1">
      <c r="A7" s="579" t="s">
        <v>892</v>
      </c>
      <c r="B7" s="577"/>
      <c r="C7" s="577"/>
      <c r="D7" s="578"/>
    </row>
    <row r="8" spans="1:5" ht="31.5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1.1880856277929941</v>
      </c>
    </row>
    <row r="9" spans="1:5" ht="24" customHeight="1">
      <c r="A9" s="579" t="s">
        <v>895</v>
      </c>
      <c r="B9" s="577"/>
      <c r="C9" s="577"/>
      <c r="D9" s="578"/>
    </row>
    <row r="10" spans="1:5" ht="31.5">
      <c r="A10" s="533">
        <v>6</v>
      </c>
      <c r="B10" s="531" t="s">
        <v>896</v>
      </c>
      <c r="C10" s="532" t="s">
        <v>897</v>
      </c>
      <c r="D10" s="575">
        <f>'1-Баланс'!C94/'1-Баланс'!G79</f>
        <v>2.1158137044967882</v>
      </c>
    </row>
    <row r="11" spans="1:5" ht="63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1.3735224839400428</v>
      </c>
    </row>
    <row r="12" spans="1:5" ht="47.2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9.6049250535331906E-2</v>
      </c>
    </row>
    <row r="13" spans="1:5" ht="31.5">
      <c r="A13" s="533">
        <v>9</v>
      </c>
      <c r="B13" s="531" t="s">
        <v>900</v>
      </c>
      <c r="C13" s="532" t="s">
        <v>901</v>
      </c>
      <c r="D13" s="575">
        <f>'1-Баланс'!C92/'1-Баланс'!G79</f>
        <v>9.6049250535331906E-2</v>
      </c>
    </row>
    <row r="14" spans="1:5" ht="24" customHeight="1">
      <c r="A14" s="579" t="s">
        <v>902</v>
      </c>
      <c r="B14" s="577"/>
      <c r="C14" s="577"/>
      <c r="D14" s="578"/>
    </row>
    <row r="15" spans="1:5" ht="31.5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0.64971353696807643</v>
      </c>
    </row>
    <row r="16" spans="1:5" ht="31.5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0.36115029610703914</v>
      </c>
    </row>
    <row r="17" spans="1:5" ht="24" customHeight="1">
      <c r="A17" s="579" t="s">
        <v>905</v>
      </c>
      <c r="B17" s="577"/>
      <c r="C17" s="577"/>
      <c r="D17" s="578"/>
    </row>
    <row r="18" spans="1:5" ht="31.5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4.9739135164113699E-2</v>
      </c>
    </row>
    <row r="19" spans="1:5" ht="31.5">
      <c r="A19" s="533">
        <v>13</v>
      </c>
      <c r="B19" s="531" t="s">
        <v>933</v>
      </c>
      <c r="C19" s="532" t="s">
        <v>906</v>
      </c>
      <c r="D19" s="575">
        <f>D4/D5</f>
        <v>0.24325915387587155</v>
      </c>
    </row>
    <row r="20" spans="1:5" ht="31.5">
      <c r="A20" s="533">
        <v>14</v>
      </c>
      <c r="B20" s="531" t="s">
        <v>907</v>
      </c>
      <c r="C20" s="532" t="s">
        <v>908</v>
      </c>
      <c r="D20" s="575">
        <f>D6/D5</f>
        <v>0.1956624675696205</v>
      </c>
    </row>
    <row r="21" spans="1:5" ht="31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37789</v>
      </c>
      <c r="E21" s="624"/>
    </row>
    <row r="22" spans="1:5" ht="63">
      <c r="A22" s="533">
        <v>16</v>
      </c>
      <c r="B22" s="531" t="s">
        <v>913</v>
      </c>
      <c r="C22" s="532" t="s">
        <v>914</v>
      </c>
      <c r="D22" s="581">
        <f>D21/'1-Баланс'!G37</f>
        <v>7.7243524883538861E-2</v>
      </c>
    </row>
    <row r="23" spans="1:5" ht="31.5">
      <c r="A23" s="533">
        <v>17</v>
      </c>
      <c r="B23" s="531" t="s">
        <v>980</v>
      </c>
      <c r="C23" s="532" t="s">
        <v>981</v>
      </c>
      <c r="D23" s="581">
        <f>(D21+'2-Отчет за доходите'!C14)/'2-Отчет за доходите'!G31</f>
        <v>0.23921323921323923</v>
      </c>
    </row>
    <row r="24" spans="1:5" ht="31.5">
      <c r="A24" s="533">
        <v>18</v>
      </c>
      <c r="B24" s="531" t="s">
        <v>982</v>
      </c>
      <c r="C24" s="532" t="s">
        <v>983</v>
      </c>
      <c r="D24" s="581">
        <f>('1-Баланс'!G56+'1-Баланс'!G79)/(D21+'2-Отчет за доходите'!C14)</f>
        <v>2.1558067496331721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43465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43627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43465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89690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43465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72725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43465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10967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43465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1713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43465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2476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43465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4775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43465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45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43465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226018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43465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37451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43465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938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43465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3729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43465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1447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43465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43465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7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43465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5183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43465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6698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43465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43465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6698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43465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105506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43465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89945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43465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43465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7962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43465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7599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43465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43465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43465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43465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43465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43465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43465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105506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43465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23055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43465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2341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43465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43465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3419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43465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28815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43465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43465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43465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410609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43465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30458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43465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30145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43465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66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43465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7830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43465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43465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43465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68499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43465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91509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43465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18868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43465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563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43465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3270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43465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43465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4423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43465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43465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683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43465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119316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43465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43465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43465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43465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43465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43465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43465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43465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29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43465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8930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43465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12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43465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43465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8971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43465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831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43465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197617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43465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608226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43465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43465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43465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43465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-33337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43465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43465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43465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101461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43465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43465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25366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43465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331944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43465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55967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43465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43465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275977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43465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357310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43465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-2850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43465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-2850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43465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43465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43465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33298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43465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43465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30448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43465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489219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43465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43465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43465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9556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43465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43465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43465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43465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43465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9556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43465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4418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43465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43465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6236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43465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5397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43465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25607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43465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65652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43465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7168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43465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18557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43465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633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43465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43465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8775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43465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147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43465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5905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43465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1214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43465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1883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43465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1483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43465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43465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92860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43465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43465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43465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540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43465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93400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43465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608226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43465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75752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43465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38654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43465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17414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43465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40425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43465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9722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43465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2695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43465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-2016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43465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9655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43465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3716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43465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43465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192301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43465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1256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43465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47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43465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226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43465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406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43465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1935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43465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194236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43465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36533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43465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43465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43465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194236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43465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36533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43465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3235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43465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3948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43465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-713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43465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43465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33298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43465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43465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33298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43465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230769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43465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210784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43465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1480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43465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4246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43465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3151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43465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219661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43465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588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43465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588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43465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1579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43465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8789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43465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43465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152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43465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43465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10520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43465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230769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43465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43465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43465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43465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230769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43465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43465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43465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43465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43465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230769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43465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220302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43465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-128291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43465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43465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-47343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43465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-6186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43465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-4062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43465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43465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-1090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43465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-165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43465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-848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43465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32317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43465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-10889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43465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272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43465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-38710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43465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27810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43465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1064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43465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-2228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43465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914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43465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8789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43465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43465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-54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43465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-13032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43465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43465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-861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43465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22031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43465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-16823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43465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-71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43465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-365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43465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-20000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43465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11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43465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-16078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43465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3207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43465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5764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43465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8971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43465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8959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43465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12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43465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100964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43465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43465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43465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43465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100964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43465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43465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43465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43465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43465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43465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43465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43465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43465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43465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43465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43465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43465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497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43465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101461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43465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43465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43465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101461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43465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43465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43465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43465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43465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43465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43465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43465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43465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43465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43465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43465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43465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43465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43465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43465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43465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43465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43465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43465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43465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43465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43465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27928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43465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43465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43465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43465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27928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43465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43465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43465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43465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43465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43465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307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43465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307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43465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43465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-99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43465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43465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99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43465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43465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-2770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43465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25366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43465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43465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43465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25366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43465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51666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43465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43465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43465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43465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51666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43465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43465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4301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43465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43465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4301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43465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43465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43465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43465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43465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43465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43465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43465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43465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43465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55967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43465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43465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43465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55967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43465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43465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43465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43465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43465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43465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43465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43465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43465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43465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43465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43465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43465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43465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43465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43465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43465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43465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43465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43465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43465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43465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43465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251089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43465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43465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43465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43465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251089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43465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43465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24888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43465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43465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24888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43465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43465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43465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43465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43465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43465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43465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43465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43465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43465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275977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43465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43465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43465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275977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43465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45831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43465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-1309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43465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-1309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43465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43465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44522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43465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33298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43465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-49295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43465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-20106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43465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-29189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43465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43465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43465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43465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43465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43465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43465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43465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43465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1923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43465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30448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43465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43465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43465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30448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43465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43465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43465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43465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43465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43465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43465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43465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43465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43465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43465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43465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43465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43465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43465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43465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43465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43465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43465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43465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43465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43465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43465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43465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43465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43465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43465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43465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43465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43465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43465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43465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43465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43465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43465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43465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43465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43465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43465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43465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43465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43465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43465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43465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43465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477478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43465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-1309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43465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-1309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43465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43465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476169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43465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33298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43465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-20106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43465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-20106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43465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43465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43465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307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43465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307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43465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43465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-99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43465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43465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99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43465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43465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-350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43465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489219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43465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43465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43465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489219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43465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43465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43465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43465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43465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43465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43465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43465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43465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43465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43465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43465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43465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43465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43465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43465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43465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43465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43465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43465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43465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43465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43465</v>
      </c>
      <c r="D461" s="89" t="s">
        <v>523</v>
      </c>
      <c r="E461" s="89">
        <v>1</v>
      </c>
      <c r="F461" s="89" t="s">
        <v>522</v>
      </c>
      <c r="H461" s="89">
        <f>'Справка 6'!D11</f>
        <v>45061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43465</v>
      </c>
      <c r="D462" s="89" t="s">
        <v>526</v>
      </c>
      <c r="E462" s="89">
        <v>1</v>
      </c>
      <c r="F462" s="89" t="s">
        <v>525</v>
      </c>
      <c r="H462" s="89">
        <f>'Справка 6'!D12</f>
        <v>127782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43465</v>
      </c>
      <c r="D463" s="89" t="s">
        <v>529</v>
      </c>
      <c r="E463" s="89">
        <v>1</v>
      </c>
      <c r="F463" s="89" t="s">
        <v>528</v>
      </c>
      <c r="H463" s="89">
        <f>'Справка 6'!D13</f>
        <v>169726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43465</v>
      </c>
      <c r="D464" s="89" t="s">
        <v>532</v>
      </c>
      <c r="E464" s="89">
        <v>1</v>
      </c>
      <c r="F464" s="89" t="s">
        <v>531</v>
      </c>
      <c r="H464" s="89">
        <f>'Справка 6'!D14</f>
        <v>16303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43465</v>
      </c>
      <c r="D465" s="89" t="s">
        <v>535</v>
      </c>
      <c r="E465" s="89">
        <v>1</v>
      </c>
      <c r="F465" s="89" t="s">
        <v>534</v>
      </c>
      <c r="H465" s="89">
        <f>'Справка 6'!D15</f>
        <v>10982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43465</v>
      </c>
      <c r="D466" s="89" t="s">
        <v>537</v>
      </c>
      <c r="E466" s="89">
        <v>1</v>
      </c>
      <c r="F466" s="89" t="s">
        <v>536</v>
      </c>
      <c r="H466" s="89">
        <f>'Справка 6'!D16</f>
        <v>13032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43465</v>
      </c>
      <c r="D467" s="89" t="s">
        <v>540</v>
      </c>
      <c r="E467" s="89">
        <v>1</v>
      </c>
      <c r="F467" s="89" t="s">
        <v>539</v>
      </c>
      <c r="H467" s="89">
        <f>'Справка 6'!D17</f>
        <v>4282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43465</v>
      </c>
      <c r="D468" s="89" t="s">
        <v>543</v>
      </c>
      <c r="E468" s="89">
        <v>1</v>
      </c>
      <c r="F468" s="89" t="s">
        <v>542</v>
      </c>
      <c r="H468" s="89">
        <f>'Справка 6'!D18</f>
        <v>120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43465</v>
      </c>
      <c r="D469" s="89" t="s">
        <v>545</v>
      </c>
      <c r="E469" s="89">
        <v>1</v>
      </c>
      <c r="F469" s="89" t="s">
        <v>828</v>
      </c>
      <c r="H469" s="89">
        <f>'Справка 6'!D19</f>
        <v>387288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43465</v>
      </c>
      <c r="D470" s="89" t="s">
        <v>547</v>
      </c>
      <c r="E470" s="89">
        <v>1</v>
      </c>
      <c r="F470" s="89" t="s">
        <v>546</v>
      </c>
      <c r="H470" s="89">
        <f>'Справка 6'!D20</f>
        <v>24799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43465</v>
      </c>
      <c r="D471" s="89" t="s">
        <v>549</v>
      </c>
      <c r="E471" s="89">
        <v>1</v>
      </c>
      <c r="F471" s="89" t="s">
        <v>548</v>
      </c>
      <c r="H471" s="89">
        <f>'Справка 6'!D21</f>
        <v>139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43465</v>
      </c>
      <c r="D472" s="89" t="s">
        <v>553</v>
      </c>
      <c r="E472" s="89">
        <v>1</v>
      </c>
      <c r="F472" s="89" t="s">
        <v>552</v>
      </c>
      <c r="H472" s="89">
        <f>'Справка 6'!D23</f>
        <v>11145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43465</v>
      </c>
      <c r="D473" s="89" t="s">
        <v>555</v>
      </c>
      <c r="E473" s="89">
        <v>1</v>
      </c>
      <c r="F473" s="89" t="s">
        <v>554</v>
      </c>
      <c r="H473" s="89">
        <f>'Справка 6'!D24</f>
        <v>4420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43465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43465</v>
      </c>
      <c r="D475" s="89" t="s">
        <v>558</v>
      </c>
      <c r="E475" s="89">
        <v>1</v>
      </c>
      <c r="F475" s="89" t="s">
        <v>542</v>
      </c>
      <c r="H475" s="89">
        <f>'Справка 6'!D26</f>
        <v>109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43465</v>
      </c>
      <c r="D476" s="89" t="s">
        <v>560</v>
      </c>
      <c r="E476" s="89">
        <v>1</v>
      </c>
      <c r="F476" s="89" t="s">
        <v>863</v>
      </c>
      <c r="H476" s="89">
        <f>'Справка 6'!D27</f>
        <v>15674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43465</v>
      </c>
      <c r="D477" s="89" t="s">
        <v>562</v>
      </c>
      <c r="E477" s="89">
        <v>1</v>
      </c>
      <c r="F477" s="89" t="s">
        <v>561</v>
      </c>
      <c r="H477" s="89">
        <f>'Справка 6'!D29</f>
        <v>105021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43465</v>
      </c>
      <c r="D478" s="89" t="s">
        <v>563</v>
      </c>
      <c r="E478" s="89">
        <v>1</v>
      </c>
      <c r="F478" s="89" t="s">
        <v>108</v>
      </c>
      <c r="H478" s="89">
        <f>'Справка 6'!D30</f>
        <v>89729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43465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43465</v>
      </c>
      <c r="D480" s="89" t="s">
        <v>565</v>
      </c>
      <c r="E480" s="89">
        <v>1</v>
      </c>
      <c r="F480" s="89" t="s">
        <v>113</v>
      </c>
      <c r="H480" s="89">
        <f>'Справка 6'!D32</f>
        <v>7740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43465</v>
      </c>
      <c r="D481" s="89" t="s">
        <v>566</v>
      </c>
      <c r="E481" s="89">
        <v>1</v>
      </c>
      <c r="F481" s="89" t="s">
        <v>115</v>
      </c>
      <c r="H481" s="89">
        <f>'Справка 6'!D33</f>
        <v>7552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43465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43465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43465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43465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43465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43465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43465</v>
      </c>
      <c r="D488" s="89" t="s">
        <v>578</v>
      </c>
      <c r="E488" s="89">
        <v>1</v>
      </c>
      <c r="F488" s="89" t="s">
        <v>827</v>
      </c>
      <c r="H488" s="89">
        <f>'Справка 6'!D40</f>
        <v>105021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43465</v>
      </c>
      <c r="D489" s="89" t="s">
        <v>581</v>
      </c>
      <c r="E489" s="89">
        <v>1</v>
      </c>
      <c r="F489" s="89" t="s">
        <v>580</v>
      </c>
      <c r="H489" s="89">
        <f>'Справка 6'!D41</f>
        <v>6698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43465</v>
      </c>
      <c r="D490" s="89" t="s">
        <v>583</v>
      </c>
      <c r="E490" s="89">
        <v>1</v>
      </c>
      <c r="F490" s="89" t="s">
        <v>582</v>
      </c>
      <c r="H490" s="89">
        <f>'Справка 6'!D42</f>
        <v>539619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43465</v>
      </c>
      <c r="D491" s="89" t="s">
        <v>523</v>
      </c>
      <c r="E491" s="89">
        <v>2</v>
      </c>
      <c r="F491" s="89" t="s">
        <v>522</v>
      </c>
      <c r="H491" s="89">
        <f>'Справка 6'!E11</f>
        <v>1752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43465</v>
      </c>
      <c r="D492" s="89" t="s">
        <v>526</v>
      </c>
      <c r="E492" s="89">
        <v>2</v>
      </c>
      <c r="F492" s="89" t="s">
        <v>525</v>
      </c>
      <c r="H492" s="89">
        <f>'Справка 6'!E12</f>
        <v>2006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43465</v>
      </c>
      <c r="D493" s="89" t="s">
        <v>529</v>
      </c>
      <c r="E493" s="89">
        <v>2</v>
      </c>
      <c r="F493" s="89" t="s">
        <v>528</v>
      </c>
      <c r="H493" s="89">
        <f>'Справка 6'!E13</f>
        <v>7046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43465</v>
      </c>
      <c r="D494" s="89" t="s">
        <v>532</v>
      </c>
      <c r="E494" s="89">
        <v>2</v>
      </c>
      <c r="F494" s="89" t="s">
        <v>531</v>
      </c>
      <c r="H494" s="89">
        <f>'Справка 6'!E14</f>
        <v>962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43465</v>
      </c>
      <c r="D495" s="89" t="s">
        <v>535</v>
      </c>
      <c r="E495" s="89">
        <v>2</v>
      </c>
      <c r="F495" s="89" t="s">
        <v>534</v>
      </c>
      <c r="H495" s="89">
        <f>'Справка 6'!E15</f>
        <v>198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43465</v>
      </c>
      <c r="D496" s="89" t="s">
        <v>537</v>
      </c>
      <c r="E496" s="89">
        <v>2</v>
      </c>
      <c r="F496" s="89" t="s">
        <v>536</v>
      </c>
      <c r="H496" s="89">
        <f>'Справка 6'!E16</f>
        <v>324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43465</v>
      </c>
      <c r="D497" s="89" t="s">
        <v>540</v>
      </c>
      <c r="E497" s="89">
        <v>2</v>
      </c>
      <c r="F497" s="89" t="s">
        <v>539</v>
      </c>
      <c r="H497" s="89">
        <f>'Справка 6'!E17</f>
        <v>11899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43465</v>
      </c>
      <c r="D498" s="89" t="s">
        <v>543</v>
      </c>
      <c r="E498" s="89">
        <v>2</v>
      </c>
      <c r="F498" s="89" t="s">
        <v>542</v>
      </c>
      <c r="H498" s="89">
        <f>'Справка 6'!E18</f>
        <v>4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43465</v>
      </c>
      <c r="D499" s="89" t="s">
        <v>545</v>
      </c>
      <c r="E499" s="89">
        <v>2</v>
      </c>
      <c r="F499" s="89" t="s">
        <v>828</v>
      </c>
      <c r="H499" s="89">
        <f>'Справка 6'!E19</f>
        <v>24191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43465</v>
      </c>
      <c r="D500" s="89" t="s">
        <v>547</v>
      </c>
      <c r="E500" s="89">
        <v>2</v>
      </c>
      <c r="F500" s="89" t="s">
        <v>546</v>
      </c>
      <c r="H500" s="89">
        <f>'Справка 6'!E20</f>
        <v>12406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43465</v>
      </c>
      <c r="D501" s="89" t="s">
        <v>549</v>
      </c>
      <c r="E501" s="89">
        <v>2</v>
      </c>
      <c r="F501" s="89" t="s">
        <v>548</v>
      </c>
      <c r="H501" s="89">
        <f>'Справка 6'!E21</f>
        <v>828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43465</v>
      </c>
      <c r="D502" s="89" t="s">
        <v>553</v>
      </c>
      <c r="E502" s="89">
        <v>2</v>
      </c>
      <c r="F502" s="89" t="s">
        <v>552</v>
      </c>
      <c r="H502" s="89">
        <f>'Справка 6'!E23</f>
        <v>595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43465</v>
      </c>
      <c r="D503" s="89" t="s">
        <v>555</v>
      </c>
      <c r="E503" s="89">
        <v>2</v>
      </c>
      <c r="F503" s="89" t="s">
        <v>554</v>
      </c>
      <c r="H503" s="89">
        <f>'Справка 6'!E24</f>
        <v>110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43465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43465</v>
      </c>
      <c r="D505" s="89" t="s">
        <v>558</v>
      </c>
      <c r="E505" s="89">
        <v>2</v>
      </c>
      <c r="F505" s="89" t="s">
        <v>542</v>
      </c>
      <c r="H505" s="89">
        <f>'Справка 6'!E26</f>
        <v>104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43465</v>
      </c>
      <c r="D506" s="89" t="s">
        <v>560</v>
      </c>
      <c r="E506" s="89">
        <v>2</v>
      </c>
      <c r="F506" s="89" t="s">
        <v>863</v>
      </c>
      <c r="H506" s="89">
        <f>'Справка 6'!E27</f>
        <v>809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43465</v>
      </c>
      <c r="D507" s="89" t="s">
        <v>562</v>
      </c>
      <c r="E507" s="89">
        <v>2</v>
      </c>
      <c r="F507" s="89" t="s">
        <v>561</v>
      </c>
      <c r="H507" s="89">
        <f>'Справка 6'!E29</f>
        <v>2263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43465</v>
      </c>
      <c r="D508" s="89" t="s">
        <v>563</v>
      </c>
      <c r="E508" s="89">
        <v>2</v>
      </c>
      <c r="F508" s="89" t="s">
        <v>108</v>
      </c>
      <c r="H508" s="89">
        <f>'Справка 6'!E30</f>
        <v>292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43465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43465</v>
      </c>
      <c r="D510" s="89" t="s">
        <v>565</v>
      </c>
      <c r="E510" s="89">
        <v>2</v>
      </c>
      <c r="F510" s="89" t="s">
        <v>113</v>
      </c>
      <c r="H510" s="89">
        <f>'Справка 6'!E32</f>
        <v>227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43465</v>
      </c>
      <c r="D511" s="89" t="s">
        <v>566</v>
      </c>
      <c r="E511" s="89">
        <v>2</v>
      </c>
      <c r="F511" s="89" t="s">
        <v>115</v>
      </c>
      <c r="H511" s="89">
        <f>'Справка 6'!E33</f>
        <v>1744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43465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43465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43465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43465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43465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43465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43465</v>
      </c>
      <c r="D518" s="89" t="s">
        <v>578</v>
      </c>
      <c r="E518" s="89">
        <v>2</v>
      </c>
      <c r="F518" s="89" t="s">
        <v>827</v>
      </c>
      <c r="H518" s="89">
        <f>'Справка 6'!E40</f>
        <v>2263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43465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43465</v>
      </c>
      <c r="D520" s="89" t="s">
        <v>583</v>
      </c>
      <c r="E520" s="89">
        <v>2</v>
      </c>
      <c r="F520" s="89" t="s">
        <v>582</v>
      </c>
      <c r="H520" s="89">
        <f>'Справка 6'!E42</f>
        <v>40497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43465</v>
      </c>
      <c r="D521" s="89" t="s">
        <v>523</v>
      </c>
      <c r="E521" s="89">
        <v>3</v>
      </c>
      <c r="F521" s="89" t="s">
        <v>522</v>
      </c>
      <c r="H521" s="89">
        <f>'Справка 6'!F11</f>
        <v>3186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43465</v>
      </c>
      <c r="D522" s="89" t="s">
        <v>526</v>
      </c>
      <c r="E522" s="89">
        <v>3</v>
      </c>
      <c r="F522" s="89" t="s">
        <v>525</v>
      </c>
      <c r="H522" s="89">
        <f>'Справка 6'!F12</f>
        <v>8110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43465</v>
      </c>
      <c r="D523" s="89" t="s">
        <v>529</v>
      </c>
      <c r="E523" s="89">
        <v>3</v>
      </c>
      <c r="F523" s="89" t="s">
        <v>528</v>
      </c>
      <c r="H523" s="89">
        <f>'Справка 6'!F13</f>
        <v>2990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43465</v>
      </c>
      <c r="D524" s="89" t="s">
        <v>532</v>
      </c>
      <c r="E524" s="89">
        <v>3</v>
      </c>
      <c r="F524" s="89" t="s">
        <v>531</v>
      </c>
      <c r="H524" s="89">
        <f>'Справка 6'!F14</f>
        <v>857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43465</v>
      </c>
      <c r="D525" s="89" t="s">
        <v>535</v>
      </c>
      <c r="E525" s="89">
        <v>3</v>
      </c>
      <c r="F525" s="89" t="s">
        <v>534</v>
      </c>
      <c r="H525" s="89">
        <f>'Справка 6'!F15</f>
        <v>2673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43465</v>
      </c>
      <c r="D526" s="89" t="s">
        <v>537</v>
      </c>
      <c r="E526" s="89">
        <v>3</v>
      </c>
      <c r="F526" s="89" t="s">
        <v>536</v>
      </c>
      <c r="H526" s="89">
        <f>'Справка 6'!F16</f>
        <v>975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43465</v>
      </c>
      <c r="D527" s="89" t="s">
        <v>540</v>
      </c>
      <c r="E527" s="89">
        <v>3</v>
      </c>
      <c r="F527" s="89" t="s">
        <v>539</v>
      </c>
      <c r="H527" s="89">
        <f>'Справка 6'!F17</f>
        <v>11406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43465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43465</v>
      </c>
      <c r="D529" s="89" t="s">
        <v>545</v>
      </c>
      <c r="E529" s="89">
        <v>3</v>
      </c>
      <c r="F529" s="89" t="s">
        <v>828</v>
      </c>
      <c r="H529" s="89">
        <f>'Справка 6'!F19</f>
        <v>30197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43465</v>
      </c>
      <c r="D530" s="89" t="s">
        <v>547</v>
      </c>
      <c r="E530" s="89">
        <v>3</v>
      </c>
      <c r="F530" s="89" t="s">
        <v>546</v>
      </c>
      <c r="H530" s="89">
        <f>'Справка 6'!F20</f>
        <v>153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43465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43465</v>
      </c>
      <c r="D532" s="89" t="s">
        <v>553</v>
      </c>
      <c r="E532" s="89">
        <v>3</v>
      </c>
      <c r="F532" s="89" t="s">
        <v>552</v>
      </c>
      <c r="H532" s="89">
        <f>'Справка 6'!F23</f>
        <v>72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43465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43465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43465</v>
      </c>
      <c r="D535" s="89" t="s">
        <v>558</v>
      </c>
      <c r="E535" s="89">
        <v>3</v>
      </c>
      <c r="F535" s="89" t="s">
        <v>542</v>
      </c>
      <c r="H535" s="89">
        <f>'Справка 6'!F26</f>
        <v>206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43465</v>
      </c>
      <c r="D536" s="89" t="s">
        <v>560</v>
      </c>
      <c r="E536" s="89">
        <v>3</v>
      </c>
      <c r="F536" s="89" t="s">
        <v>863</v>
      </c>
      <c r="H536" s="89">
        <f>'Справка 6'!F27</f>
        <v>278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43465</v>
      </c>
      <c r="D537" s="89" t="s">
        <v>562</v>
      </c>
      <c r="E537" s="89">
        <v>3</v>
      </c>
      <c r="F537" s="89" t="s">
        <v>561</v>
      </c>
      <c r="H537" s="89">
        <f>'Справка 6'!F29</f>
        <v>1566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43465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43465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43465</v>
      </c>
      <c r="D540" s="89" t="s">
        <v>565</v>
      </c>
      <c r="E540" s="89">
        <v>3</v>
      </c>
      <c r="F540" s="89" t="s">
        <v>113</v>
      </c>
      <c r="H540" s="89">
        <f>'Справка 6'!F32</f>
        <v>5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43465</v>
      </c>
      <c r="D541" s="89" t="s">
        <v>566</v>
      </c>
      <c r="E541" s="89">
        <v>3</v>
      </c>
      <c r="F541" s="89" t="s">
        <v>115</v>
      </c>
      <c r="H541" s="89">
        <f>'Справка 6'!F33</f>
        <v>1561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43465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43465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43465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43465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43465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43465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43465</v>
      </c>
      <c r="D548" s="89" t="s">
        <v>578</v>
      </c>
      <c r="E548" s="89">
        <v>3</v>
      </c>
      <c r="F548" s="89" t="s">
        <v>827</v>
      </c>
      <c r="H548" s="89">
        <f>'Справка 6'!F40</f>
        <v>1566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43465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43465</v>
      </c>
      <c r="D550" s="89" t="s">
        <v>583</v>
      </c>
      <c r="E550" s="89">
        <v>3</v>
      </c>
      <c r="F550" s="89" t="s">
        <v>582</v>
      </c>
      <c r="H550" s="89">
        <f>'Справка 6'!F42</f>
        <v>32194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43465</v>
      </c>
      <c r="D551" s="89" t="s">
        <v>523</v>
      </c>
      <c r="E551" s="89">
        <v>4</v>
      </c>
      <c r="F551" s="89" t="s">
        <v>522</v>
      </c>
      <c r="H551" s="89">
        <f>'Справка 6'!G11</f>
        <v>43627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43465</v>
      </c>
      <c r="D552" s="89" t="s">
        <v>526</v>
      </c>
      <c r="E552" s="89">
        <v>4</v>
      </c>
      <c r="F552" s="89" t="s">
        <v>525</v>
      </c>
      <c r="H552" s="89">
        <f>'Справка 6'!G12</f>
        <v>121678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43465</v>
      </c>
      <c r="D553" s="89" t="s">
        <v>529</v>
      </c>
      <c r="E553" s="89">
        <v>4</v>
      </c>
      <c r="F553" s="89" t="s">
        <v>528</v>
      </c>
      <c r="H553" s="89">
        <f>'Справка 6'!G13</f>
        <v>173782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43465</v>
      </c>
      <c r="D554" s="89" t="s">
        <v>532</v>
      </c>
      <c r="E554" s="89">
        <v>4</v>
      </c>
      <c r="F554" s="89" t="s">
        <v>531</v>
      </c>
      <c r="H554" s="89">
        <f>'Справка 6'!G14</f>
        <v>16408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43465</v>
      </c>
      <c r="D555" s="89" t="s">
        <v>535</v>
      </c>
      <c r="E555" s="89">
        <v>4</v>
      </c>
      <c r="F555" s="89" t="s">
        <v>534</v>
      </c>
      <c r="H555" s="89">
        <f>'Справка 6'!G15</f>
        <v>8507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43465</v>
      </c>
      <c r="D556" s="89" t="s">
        <v>537</v>
      </c>
      <c r="E556" s="89">
        <v>4</v>
      </c>
      <c r="F556" s="89" t="s">
        <v>536</v>
      </c>
      <c r="H556" s="89">
        <f>'Справка 6'!G16</f>
        <v>12381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43465</v>
      </c>
      <c r="D557" s="89" t="s">
        <v>540</v>
      </c>
      <c r="E557" s="89">
        <v>4</v>
      </c>
      <c r="F557" s="89" t="s">
        <v>539</v>
      </c>
      <c r="H557" s="89">
        <f>'Справка 6'!G17</f>
        <v>4775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43465</v>
      </c>
      <c r="D558" s="89" t="s">
        <v>543</v>
      </c>
      <c r="E558" s="89">
        <v>4</v>
      </c>
      <c r="F558" s="89" t="s">
        <v>542</v>
      </c>
      <c r="H558" s="89">
        <f>'Справка 6'!G18</f>
        <v>124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43465</v>
      </c>
      <c r="D559" s="89" t="s">
        <v>545</v>
      </c>
      <c r="E559" s="89">
        <v>4</v>
      </c>
      <c r="F559" s="89" t="s">
        <v>828</v>
      </c>
      <c r="H559" s="89">
        <f>'Справка 6'!G19</f>
        <v>381282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43465</v>
      </c>
      <c r="D560" s="89" t="s">
        <v>547</v>
      </c>
      <c r="E560" s="89">
        <v>4</v>
      </c>
      <c r="F560" s="89" t="s">
        <v>546</v>
      </c>
      <c r="H560" s="89">
        <f>'Справка 6'!G20</f>
        <v>37052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43465</v>
      </c>
      <c r="D561" s="89" t="s">
        <v>549</v>
      </c>
      <c r="E561" s="89">
        <v>4</v>
      </c>
      <c r="F561" s="89" t="s">
        <v>548</v>
      </c>
      <c r="H561" s="89">
        <f>'Справка 6'!G21</f>
        <v>967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43465</v>
      </c>
      <c r="D562" s="89" t="s">
        <v>553</v>
      </c>
      <c r="E562" s="89">
        <v>4</v>
      </c>
      <c r="F562" s="89" t="s">
        <v>552</v>
      </c>
      <c r="H562" s="89">
        <f>'Справка 6'!G23</f>
        <v>11668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43465</v>
      </c>
      <c r="D563" s="89" t="s">
        <v>555</v>
      </c>
      <c r="E563" s="89">
        <v>4</v>
      </c>
      <c r="F563" s="89" t="s">
        <v>554</v>
      </c>
      <c r="H563" s="89">
        <f>'Справка 6'!G24</f>
        <v>4530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43465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43465</v>
      </c>
      <c r="D565" s="89" t="s">
        <v>558</v>
      </c>
      <c r="E565" s="89">
        <v>4</v>
      </c>
      <c r="F565" s="89" t="s">
        <v>542</v>
      </c>
      <c r="H565" s="89">
        <f>'Справка 6'!G26</f>
        <v>7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43465</v>
      </c>
      <c r="D566" s="89" t="s">
        <v>560</v>
      </c>
      <c r="E566" s="89">
        <v>4</v>
      </c>
      <c r="F566" s="89" t="s">
        <v>863</v>
      </c>
      <c r="H566" s="89">
        <f>'Справка 6'!G27</f>
        <v>16205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43465</v>
      </c>
      <c r="D567" s="89" t="s">
        <v>562</v>
      </c>
      <c r="E567" s="89">
        <v>4</v>
      </c>
      <c r="F567" s="89" t="s">
        <v>561</v>
      </c>
      <c r="H567" s="89">
        <f>'Справка 6'!G29</f>
        <v>105718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43465</v>
      </c>
      <c r="D568" s="89" t="s">
        <v>563</v>
      </c>
      <c r="E568" s="89">
        <v>4</v>
      </c>
      <c r="F568" s="89" t="s">
        <v>108</v>
      </c>
      <c r="H568" s="89">
        <f>'Справка 6'!G30</f>
        <v>90021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43465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43465</v>
      </c>
      <c r="D570" s="89" t="s">
        <v>565</v>
      </c>
      <c r="E570" s="89">
        <v>4</v>
      </c>
      <c r="F570" s="89" t="s">
        <v>113</v>
      </c>
      <c r="H570" s="89">
        <f>'Справка 6'!G32</f>
        <v>7962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43465</v>
      </c>
      <c r="D571" s="89" t="s">
        <v>566</v>
      </c>
      <c r="E571" s="89">
        <v>4</v>
      </c>
      <c r="F571" s="89" t="s">
        <v>115</v>
      </c>
      <c r="H571" s="89">
        <f>'Справка 6'!G33</f>
        <v>7735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43465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43465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43465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43465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43465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43465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43465</v>
      </c>
      <c r="D578" s="89" t="s">
        <v>578</v>
      </c>
      <c r="E578" s="89">
        <v>4</v>
      </c>
      <c r="F578" s="89" t="s">
        <v>827</v>
      </c>
      <c r="H578" s="89">
        <f>'Справка 6'!G40</f>
        <v>105718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43465</v>
      </c>
      <c r="D579" s="89" t="s">
        <v>581</v>
      </c>
      <c r="E579" s="89">
        <v>4</v>
      </c>
      <c r="F579" s="89" t="s">
        <v>580</v>
      </c>
      <c r="H579" s="89">
        <f>'Справка 6'!G41</f>
        <v>6698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43465</v>
      </c>
      <c r="D580" s="89" t="s">
        <v>583</v>
      </c>
      <c r="E580" s="89">
        <v>4</v>
      </c>
      <c r="F580" s="89" t="s">
        <v>582</v>
      </c>
      <c r="H580" s="89">
        <f>'Справка 6'!G42</f>
        <v>547922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43465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43465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43465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43465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43465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43465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43465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43465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43465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43465</v>
      </c>
      <c r="D590" s="89" t="s">
        <v>547</v>
      </c>
      <c r="E590" s="89">
        <v>5</v>
      </c>
      <c r="F590" s="89" t="s">
        <v>546</v>
      </c>
      <c r="H590" s="89">
        <f>'Справка 6'!H20</f>
        <v>399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43465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43465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43465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43465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43465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43465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43465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43465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43465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43465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43465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43465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43465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43465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43465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43465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43465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43465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43465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43465</v>
      </c>
      <c r="D610" s="89" t="s">
        <v>583</v>
      </c>
      <c r="E610" s="89">
        <v>5</v>
      </c>
      <c r="F610" s="89" t="s">
        <v>582</v>
      </c>
      <c r="H610" s="89">
        <f>'Справка 6'!H42</f>
        <v>399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43465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43465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43465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43465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43465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43465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43465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43465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43465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43465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43465</v>
      </c>
      <c r="D621" s="89" t="s">
        <v>549</v>
      </c>
      <c r="E621" s="89">
        <v>6</v>
      </c>
      <c r="F621" s="89" t="s">
        <v>548</v>
      </c>
      <c r="H621" s="89">
        <f>'Справка 6'!I21</f>
        <v>29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43465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43465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43465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43465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43465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43465</v>
      </c>
      <c r="D627" s="89" t="s">
        <v>562</v>
      </c>
      <c r="E627" s="89">
        <v>6</v>
      </c>
      <c r="F627" s="89" t="s">
        <v>561</v>
      </c>
      <c r="H627" s="89">
        <f>'Справка 6'!I29</f>
        <v>212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43465</v>
      </c>
      <c r="D628" s="89" t="s">
        <v>563</v>
      </c>
      <c r="E628" s="89">
        <v>6</v>
      </c>
      <c r="F628" s="89" t="s">
        <v>108</v>
      </c>
      <c r="H628" s="89">
        <f>'Справка 6'!I30</f>
        <v>76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43465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43465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43465</v>
      </c>
      <c r="D631" s="89" t="s">
        <v>566</v>
      </c>
      <c r="E631" s="89">
        <v>6</v>
      </c>
      <c r="F631" s="89" t="s">
        <v>115</v>
      </c>
      <c r="H631" s="89">
        <f>'Справка 6'!I33</f>
        <v>136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43465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43465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43465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43465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43465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43465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43465</v>
      </c>
      <c r="D638" s="89" t="s">
        <v>578</v>
      </c>
      <c r="E638" s="89">
        <v>6</v>
      </c>
      <c r="F638" s="89" t="s">
        <v>827</v>
      </c>
      <c r="H638" s="89">
        <f>'Справка 6'!I40</f>
        <v>212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43465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43465</v>
      </c>
      <c r="D640" s="89" t="s">
        <v>583</v>
      </c>
      <c r="E640" s="89">
        <v>6</v>
      </c>
      <c r="F640" s="89" t="s">
        <v>582</v>
      </c>
      <c r="H640" s="89">
        <f>'Справка 6'!I42</f>
        <v>241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43465</v>
      </c>
      <c r="D641" s="89" t="s">
        <v>523</v>
      </c>
      <c r="E641" s="89">
        <v>7</v>
      </c>
      <c r="F641" s="89" t="s">
        <v>522</v>
      </c>
      <c r="H641" s="89">
        <f>'Справка 6'!J11</f>
        <v>43627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43465</v>
      </c>
      <c r="D642" s="89" t="s">
        <v>526</v>
      </c>
      <c r="E642" s="89">
        <v>7</v>
      </c>
      <c r="F642" s="89" t="s">
        <v>525</v>
      </c>
      <c r="H642" s="89">
        <f>'Справка 6'!J12</f>
        <v>121678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43465</v>
      </c>
      <c r="D643" s="89" t="s">
        <v>529</v>
      </c>
      <c r="E643" s="89">
        <v>7</v>
      </c>
      <c r="F643" s="89" t="s">
        <v>528</v>
      </c>
      <c r="H643" s="89">
        <f>'Справка 6'!J13</f>
        <v>173782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43465</v>
      </c>
      <c r="D644" s="89" t="s">
        <v>532</v>
      </c>
      <c r="E644" s="89">
        <v>7</v>
      </c>
      <c r="F644" s="89" t="s">
        <v>531</v>
      </c>
      <c r="H644" s="89">
        <f>'Справка 6'!J14</f>
        <v>16408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43465</v>
      </c>
      <c r="D645" s="89" t="s">
        <v>535</v>
      </c>
      <c r="E645" s="89">
        <v>7</v>
      </c>
      <c r="F645" s="89" t="s">
        <v>534</v>
      </c>
      <c r="H645" s="89">
        <f>'Справка 6'!J15</f>
        <v>8507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43465</v>
      </c>
      <c r="D646" s="89" t="s">
        <v>537</v>
      </c>
      <c r="E646" s="89">
        <v>7</v>
      </c>
      <c r="F646" s="89" t="s">
        <v>536</v>
      </c>
      <c r="H646" s="89">
        <f>'Справка 6'!J16</f>
        <v>12381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43465</v>
      </c>
      <c r="D647" s="89" t="s">
        <v>540</v>
      </c>
      <c r="E647" s="89">
        <v>7</v>
      </c>
      <c r="F647" s="89" t="s">
        <v>539</v>
      </c>
      <c r="H647" s="89">
        <f>'Справка 6'!J17</f>
        <v>4775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43465</v>
      </c>
      <c r="D648" s="89" t="s">
        <v>543</v>
      </c>
      <c r="E648" s="89">
        <v>7</v>
      </c>
      <c r="F648" s="89" t="s">
        <v>542</v>
      </c>
      <c r="H648" s="89">
        <f>'Справка 6'!J18</f>
        <v>124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43465</v>
      </c>
      <c r="D649" s="89" t="s">
        <v>545</v>
      </c>
      <c r="E649" s="89">
        <v>7</v>
      </c>
      <c r="F649" s="89" t="s">
        <v>828</v>
      </c>
      <c r="H649" s="89">
        <f>'Справка 6'!J19</f>
        <v>381282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43465</v>
      </c>
      <c r="D650" s="89" t="s">
        <v>547</v>
      </c>
      <c r="E650" s="89">
        <v>7</v>
      </c>
      <c r="F650" s="89" t="s">
        <v>546</v>
      </c>
      <c r="H650" s="89">
        <f>'Справка 6'!J20</f>
        <v>37451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43465</v>
      </c>
      <c r="D651" s="89" t="s">
        <v>549</v>
      </c>
      <c r="E651" s="89">
        <v>7</v>
      </c>
      <c r="F651" s="89" t="s">
        <v>548</v>
      </c>
      <c r="H651" s="89">
        <f>'Справка 6'!J21</f>
        <v>938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43465</v>
      </c>
      <c r="D652" s="89" t="s">
        <v>553</v>
      </c>
      <c r="E652" s="89">
        <v>7</v>
      </c>
      <c r="F652" s="89" t="s">
        <v>552</v>
      </c>
      <c r="H652" s="89">
        <f>'Справка 6'!J23</f>
        <v>11668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43465</v>
      </c>
      <c r="D653" s="89" t="s">
        <v>555</v>
      </c>
      <c r="E653" s="89">
        <v>7</v>
      </c>
      <c r="F653" s="89" t="s">
        <v>554</v>
      </c>
      <c r="H653" s="89">
        <f>'Справка 6'!J24</f>
        <v>4530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43465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43465</v>
      </c>
      <c r="D655" s="89" t="s">
        <v>558</v>
      </c>
      <c r="E655" s="89">
        <v>7</v>
      </c>
      <c r="F655" s="89" t="s">
        <v>542</v>
      </c>
      <c r="H655" s="89">
        <f>'Справка 6'!J26</f>
        <v>7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43465</v>
      </c>
      <c r="D656" s="89" t="s">
        <v>560</v>
      </c>
      <c r="E656" s="89">
        <v>7</v>
      </c>
      <c r="F656" s="89" t="s">
        <v>863</v>
      </c>
      <c r="H656" s="89">
        <f>'Справка 6'!J27</f>
        <v>16205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43465</v>
      </c>
      <c r="D657" s="89" t="s">
        <v>562</v>
      </c>
      <c r="E657" s="89">
        <v>7</v>
      </c>
      <c r="F657" s="89" t="s">
        <v>561</v>
      </c>
      <c r="H657" s="89">
        <f>'Справка 6'!J29</f>
        <v>105506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43465</v>
      </c>
      <c r="D658" s="89" t="s">
        <v>563</v>
      </c>
      <c r="E658" s="89">
        <v>7</v>
      </c>
      <c r="F658" s="89" t="s">
        <v>108</v>
      </c>
      <c r="H658" s="89">
        <f>'Справка 6'!J30</f>
        <v>89945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43465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43465</v>
      </c>
      <c r="D660" s="89" t="s">
        <v>565</v>
      </c>
      <c r="E660" s="89">
        <v>7</v>
      </c>
      <c r="F660" s="89" t="s">
        <v>113</v>
      </c>
      <c r="H660" s="89">
        <f>'Справка 6'!J32</f>
        <v>7962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43465</v>
      </c>
      <c r="D661" s="89" t="s">
        <v>566</v>
      </c>
      <c r="E661" s="89">
        <v>7</v>
      </c>
      <c r="F661" s="89" t="s">
        <v>115</v>
      </c>
      <c r="H661" s="89">
        <f>'Справка 6'!J33</f>
        <v>7599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43465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43465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43465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43465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43465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43465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43465</v>
      </c>
      <c r="D668" s="89" t="s">
        <v>578</v>
      </c>
      <c r="E668" s="89">
        <v>7</v>
      </c>
      <c r="F668" s="89" t="s">
        <v>827</v>
      </c>
      <c r="H668" s="89">
        <f>'Справка 6'!J40</f>
        <v>105506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43465</v>
      </c>
      <c r="D669" s="89" t="s">
        <v>581</v>
      </c>
      <c r="E669" s="89">
        <v>7</v>
      </c>
      <c r="F669" s="89" t="s">
        <v>580</v>
      </c>
      <c r="H669" s="89">
        <f>'Справка 6'!J41</f>
        <v>6698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43465</v>
      </c>
      <c r="D670" s="89" t="s">
        <v>583</v>
      </c>
      <c r="E670" s="89">
        <v>7</v>
      </c>
      <c r="F670" s="89" t="s">
        <v>582</v>
      </c>
      <c r="H670" s="89">
        <f>'Справка 6'!J42</f>
        <v>548080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43465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43465</v>
      </c>
      <c r="D672" s="89" t="s">
        <v>526</v>
      </c>
      <c r="E672" s="89">
        <v>8</v>
      </c>
      <c r="F672" s="89" t="s">
        <v>525</v>
      </c>
      <c r="H672" s="89">
        <f>'Справка 6'!K12</f>
        <v>30538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43465</v>
      </c>
      <c r="D673" s="89" t="s">
        <v>529</v>
      </c>
      <c r="E673" s="89">
        <v>8</v>
      </c>
      <c r="F673" s="89" t="s">
        <v>528</v>
      </c>
      <c r="H673" s="89">
        <f>'Справка 6'!K13</f>
        <v>94098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43465</v>
      </c>
      <c r="D674" s="89" t="s">
        <v>532</v>
      </c>
      <c r="E674" s="89">
        <v>8</v>
      </c>
      <c r="F674" s="89" t="s">
        <v>531</v>
      </c>
      <c r="H674" s="89">
        <f>'Справка 6'!K14</f>
        <v>4759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43465</v>
      </c>
      <c r="D675" s="89" t="s">
        <v>535</v>
      </c>
      <c r="E675" s="89">
        <v>8</v>
      </c>
      <c r="F675" s="89" t="s">
        <v>534</v>
      </c>
      <c r="H675" s="89">
        <f>'Справка 6'!K15</f>
        <v>8239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43465</v>
      </c>
      <c r="D676" s="89" t="s">
        <v>537</v>
      </c>
      <c r="E676" s="89">
        <v>8</v>
      </c>
      <c r="F676" s="89" t="s">
        <v>536</v>
      </c>
      <c r="H676" s="89">
        <f>'Справка 6'!K16</f>
        <v>10004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43465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43465</v>
      </c>
      <c r="D678" s="89" t="s">
        <v>543</v>
      </c>
      <c r="E678" s="89">
        <v>8</v>
      </c>
      <c r="F678" s="89" t="s">
        <v>542</v>
      </c>
      <c r="H678" s="89">
        <f>'Справка 6'!K18</f>
        <v>68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43465</v>
      </c>
      <c r="D679" s="89" t="s">
        <v>545</v>
      </c>
      <c r="E679" s="89">
        <v>8</v>
      </c>
      <c r="F679" s="89" t="s">
        <v>828</v>
      </c>
      <c r="H679" s="89">
        <f>'Справка 6'!K19</f>
        <v>147706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43465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43465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43465</v>
      </c>
      <c r="D682" s="89" t="s">
        <v>553</v>
      </c>
      <c r="E682" s="89">
        <v>8</v>
      </c>
      <c r="F682" s="89" t="s">
        <v>552</v>
      </c>
      <c r="H682" s="89">
        <f>'Справка 6'!K23</f>
        <v>7123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43465</v>
      </c>
      <c r="D683" s="89" t="s">
        <v>555</v>
      </c>
      <c r="E683" s="89">
        <v>8</v>
      </c>
      <c r="F683" s="89" t="s">
        <v>554</v>
      </c>
      <c r="H683" s="89">
        <f>'Справка 6'!K24</f>
        <v>2792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43465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43465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43465</v>
      </c>
      <c r="D686" s="89" t="s">
        <v>560</v>
      </c>
      <c r="E686" s="89">
        <v>8</v>
      </c>
      <c r="F686" s="89" t="s">
        <v>863</v>
      </c>
      <c r="H686" s="89">
        <f>'Справка 6'!K27</f>
        <v>9915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43465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43465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43465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43465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43465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43465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43465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43465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43465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43465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43465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43465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43465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43465</v>
      </c>
      <c r="D700" s="89" t="s">
        <v>583</v>
      </c>
      <c r="E700" s="89">
        <v>8</v>
      </c>
      <c r="F700" s="89" t="s">
        <v>582</v>
      </c>
      <c r="H700" s="89">
        <f>'Справка 6'!K42</f>
        <v>157621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43465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43465</v>
      </c>
      <c r="D702" s="89" t="s">
        <v>526</v>
      </c>
      <c r="E702" s="89">
        <v>9</v>
      </c>
      <c r="F702" s="89" t="s">
        <v>525</v>
      </c>
      <c r="H702" s="89">
        <f>'Справка 6'!L12</f>
        <v>4645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43465</v>
      </c>
      <c r="D703" s="89" t="s">
        <v>529</v>
      </c>
      <c r="E703" s="89">
        <v>9</v>
      </c>
      <c r="F703" s="89" t="s">
        <v>528</v>
      </c>
      <c r="H703" s="89">
        <f>'Справка 6'!L13</f>
        <v>9420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43465</v>
      </c>
      <c r="D704" s="89" t="s">
        <v>532</v>
      </c>
      <c r="E704" s="89">
        <v>9</v>
      </c>
      <c r="F704" s="89" t="s">
        <v>531</v>
      </c>
      <c r="H704" s="89">
        <f>'Справка 6'!L14</f>
        <v>931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43465</v>
      </c>
      <c r="D705" s="89" t="s">
        <v>535</v>
      </c>
      <c r="E705" s="89">
        <v>9</v>
      </c>
      <c r="F705" s="89" t="s">
        <v>534</v>
      </c>
      <c r="H705" s="89">
        <f>'Справка 6'!L15</f>
        <v>804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43465</v>
      </c>
      <c r="D706" s="89" t="s">
        <v>537</v>
      </c>
      <c r="E706" s="89">
        <v>9</v>
      </c>
      <c r="F706" s="89" t="s">
        <v>536</v>
      </c>
      <c r="H706" s="89">
        <f>'Справка 6'!L16</f>
        <v>641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43465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43465</v>
      </c>
      <c r="D708" s="89" t="s">
        <v>543</v>
      </c>
      <c r="E708" s="89">
        <v>9</v>
      </c>
      <c r="F708" s="89" t="s">
        <v>542</v>
      </c>
      <c r="H708" s="89">
        <f>'Справка 6'!L18</f>
        <v>11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43465</v>
      </c>
      <c r="D709" s="89" t="s">
        <v>545</v>
      </c>
      <c r="E709" s="89">
        <v>9</v>
      </c>
      <c r="F709" s="89" t="s">
        <v>828</v>
      </c>
      <c r="H709" s="89">
        <f>'Справка 6'!L19</f>
        <v>16452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43465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43465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43465</v>
      </c>
      <c r="D712" s="89" t="s">
        <v>553</v>
      </c>
      <c r="E712" s="89">
        <v>9</v>
      </c>
      <c r="F712" s="89" t="s">
        <v>552</v>
      </c>
      <c r="H712" s="89">
        <f>'Справка 6'!L23</f>
        <v>857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43465</v>
      </c>
      <c r="D713" s="89" t="s">
        <v>555</v>
      </c>
      <c r="E713" s="89">
        <v>9</v>
      </c>
      <c r="F713" s="89" t="s">
        <v>554</v>
      </c>
      <c r="H713" s="89">
        <f>'Справка 6'!L24</f>
        <v>322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43465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43465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43465</v>
      </c>
      <c r="D716" s="89" t="s">
        <v>560</v>
      </c>
      <c r="E716" s="89">
        <v>9</v>
      </c>
      <c r="F716" s="89" t="s">
        <v>863</v>
      </c>
      <c r="H716" s="89">
        <f>'Справка 6'!L27</f>
        <v>1179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43465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43465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43465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43465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43465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43465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43465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43465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43465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43465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43465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43465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43465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43465</v>
      </c>
      <c r="D730" s="89" t="s">
        <v>583</v>
      </c>
      <c r="E730" s="89">
        <v>9</v>
      </c>
      <c r="F730" s="89" t="s">
        <v>582</v>
      </c>
      <c r="H730" s="89">
        <f>'Справка 6'!L42</f>
        <v>17631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43465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43465</v>
      </c>
      <c r="D732" s="89" t="s">
        <v>526</v>
      </c>
      <c r="E732" s="89">
        <v>10</v>
      </c>
      <c r="F732" s="89" t="s">
        <v>525</v>
      </c>
      <c r="H732" s="89">
        <f>'Справка 6'!M12</f>
        <v>3195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43465</v>
      </c>
      <c r="D733" s="89" t="s">
        <v>529</v>
      </c>
      <c r="E733" s="89">
        <v>10</v>
      </c>
      <c r="F733" s="89" t="s">
        <v>528</v>
      </c>
      <c r="H733" s="89">
        <f>'Справка 6'!M13</f>
        <v>2461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43465</v>
      </c>
      <c r="D734" s="89" t="s">
        <v>532</v>
      </c>
      <c r="E734" s="89">
        <v>10</v>
      </c>
      <c r="F734" s="89" t="s">
        <v>531</v>
      </c>
      <c r="H734" s="89">
        <f>'Справка 6'!M14</f>
        <v>249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43465</v>
      </c>
      <c r="D735" s="89" t="s">
        <v>535</v>
      </c>
      <c r="E735" s="89">
        <v>10</v>
      </c>
      <c r="F735" s="89" t="s">
        <v>534</v>
      </c>
      <c r="H735" s="89">
        <f>'Справка 6'!M15</f>
        <v>2249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43465</v>
      </c>
      <c r="D736" s="89" t="s">
        <v>537</v>
      </c>
      <c r="E736" s="89">
        <v>10</v>
      </c>
      <c r="F736" s="89" t="s">
        <v>536</v>
      </c>
      <c r="H736" s="89">
        <f>'Справка 6'!M16</f>
        <v>740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43465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43465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43465</v>
      </c>
      <c r="D739" s="89" t="s">
        <v>545</v>
      </c>
      <c r="E739" s="89">
        <v>10</v>
      </c>
      <c r="F739" s="89" t="s">
        <v>828</v>
      </c>
      <c r="H739" s="89">
        <f>'Справка 6'!M19</f>
        <v>8894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43465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43465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43465</v>
      </c>
      <c r="D742" s="89" t="s">
        <v>553</v>
      </c>
      <c r="E742" s="89">
        <v>10</v>
      </c>
      <c r="F742" s="89" t="s">
        <v>552</v>
      </c>
      <c r="H742" s="89">
        <f>'Справка 6'!M23</f>
        <v>41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43465</v>
      </c>
      <c r="D743" s="89" t="s">
        <v>555</v>
      </c>
      <c r="E743" s="89">
        <v>10</v>
      </c>
      <c r="F743" s="89" t="s">
        <v>554</v>
      </c>
      <c r="H743" s="89">
        <f>'Справка 6'!M24</f>
        <v>31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43465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43465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43465</v>
      </c>
      <c r="D746" s="89" t="s">
        <v>560</v>
      </c>
      <c r="E746" s="89">
        <v>10</v>
      </c>
      <c r="F746" s="89" t="s">
        <v>863</v>
      </c>
      <c r="H746" s="89">
        <f>'Справка 6'!M27</f>
        <v>72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43465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43465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43465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43465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43465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43465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43465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43465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43465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43465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43465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43465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43465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43465</v>
      </c>
      <c r="D760" s="89" t="s">
        <v>583</v>
      </c>
      <c r="E760" s="89">
        <v>10</v>
      </c>
      <c r="F760" s="89" t="s">
        <v>582</v>
      </c>
      <c r="H760" s="89">
        <f>'Справка 6'!M42</f>
        <v>8966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43465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43465</v>
      </c>
      <c r="D762" s="89" t="s">
        <v>526</v>
      </c>
      <c r="E762" s="89">
        <v>11</v>
      </c>
      <c r="F762" s="89" t="s">
        <v>525</v>
      </c>
      <c r="H762" s="89">
        <f>'Справка 6'!N12</f>
        <v>31988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43465</v>
      </c>
      <c r="D763" s="89" t="s">
        <v>529</v>
      </c>
      <c r="E763" s="89">
        <v>11</v>
      </c>
      <c r="F763" s="89" t="s">
        <v>528</v>
      </c>
      <c r="H763" s="89">
        <f>'Справка 6'!N13</f>
        <v>101057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43465</v>
      </c>
      <c r="D764" s="89" t="s">
        <v>532</v>
      </c>
      <c r="E764" s="89">
        <v>11</v>
      </c>
      <c r="F764" s="89" t="s">
        <v>531</v>
      </c>
      <c r="H764" s="89">
        <f>'Справка 6'!N14</f>
        <v>5441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43465</v>
      </c>
      <c r="D765" s="89" t="s">
        <v>535</v>
      </c>
      <c r="E765" s="89">
        <v>11</v>
      </c>
      <c r="F765" s="89" t="s">
        <v>534</v>
      </c>
      <c r="H765" s="89">
        <f>'Справка 6'!N15</f>
        <v>6794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43465</v>
      </c>
      <c r="D766" s="89" t="s">
        <v>537</v>
      </c>
      <c r="E766" s="89">
        <v>11</v>
      </c>
      <c r="F766" s="89" t="s">
        <v>536</v>
      </c>
      <c r="H766" s="89">
        <f>'Справка 6'!N16</f>
        <v>9905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43465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43465</v>
      </c>
      <c r="D768" s="89" t="s">
        <v>543</v>
      </c>
      <c r="E768" s="89">
        <v>11</v>
      </c>
      <c r="F768" s="89" t="s">
        <v>542</v>
      </c>
      <c r="H768" s="89">
        <f>'Справка 6'!N18</f>
        <v>79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43465</v>
      </c>
      <c r="D769" s="89" t="s">
        <v>545</v>
      </c>
      <c r="E769" s="89">
        <v>11</v>
      </c>
      <c r="F769" s="89" t="s">
        <v>828</v>
      </c>
      <c r="H769" s="89">
        <f>'Справка 6'!N19</f>
        <v>155264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43465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43465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43465</v>
      </c>
      <c r="D772" s="89" t="s">
        <v>553</v>
      </c>
      <c r="E772" s="89">
        <v>11</v>
      </c>
      <c r="F772" s="89" t="s">
        <v>552</v>
      </c>
      <c r="H772" s="89">
        <f>'Справка 6'!N23</f>
        <v>7939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43465</v>
      </c>
      <c r="D773" s="89" t="s">
        <v>555</v>
      </c>
      <c r="E773" s="89">
        <v>11</v>
      </c>
      <c r="F773" s="89" t="s">
        <v>554</v>
      </c>
      <c r="H773" s="89">
        <f>'Справка 6'!N24</f>
        <v>3083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43465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43465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43465</v>
      </c>
      <c r="D776" s="89" t="s">
        <v>560</v>
      </c>
      <c r="E776" s="89">
        <v>11</v>
      </c>
      <c r="F776" s="89" t="s">
        <v>863</v>
      </c>
      <c r="H776" s="89">
        <f>'Справка 6'!N27</f>
        <v>11022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43465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43465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43465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43465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43465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43465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43465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43465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43465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43465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43465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43465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43465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43465</v>
      </c>
      <c r="D790" s="89" t="s">
        <v>583</v>
      </c>
      <c r="E790" s="89">
        <v>11</v>
      </c>
      <c r="F790" s="89" t="s">
        <v>582</v>
      </c>
      <c r="H790" s="89">
        <f>'Справка 6'!N42</f>
        <v>166286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43465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43465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43465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43465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43465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43465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43465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43465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43465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43465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43465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43465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43465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43465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43465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43465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43465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43465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43465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43465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43465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43465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43465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43465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43465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43465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43465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43465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43465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43465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43465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43465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43465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43465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43465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43465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43465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43465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43465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43465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43465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43465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43465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43465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43465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43465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43465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43465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43465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43465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43465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43465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43465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43465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43465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43465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43465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43465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43465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43465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43465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43465</v>
      </c>
      <c r="D852" s="89" t="s">
        <v>526</v>
      </c>
      <c r="E852" s="89">
        <v>14</v>
      </c>
      <c r="F852" s="89" t="s">
        <v>525</v>
      </c>
      <c r="H852" s="89">
        <f>'Справка 6'!Q12</f>
        <v>31988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43465</v>
      </c>
      <c r="D853" s="89" t="s">
        <v>529</v>
      </c>
      <c r="E853" s="89">
        <v>14</v>
      </c>
      <c r="F853" s="89" t="s">
        <v>528</v>
      </c>
      <c r="H853" s="89">
        <f>'Справка 6'!Q13</f>
        <v>101057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43465</v>
      </c>
      <c r="D854" s="89" t="s">
        <v>532</v>
      </c>
      <c r="E854" s="89">
        <v>14</v>
      </c>
      <c r="F854" s="89" t="s">
        <v>531</v>
      </c>
      <c r="H854" s="89">
        <f>'Справка 6'!Q14</f>
        <v>5441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43465</v>
      </c>
      <c r="D855" s="89" t="s">
        <v>535</v>
      </c>
      <c r="E855" s="89">
        <v>14</v>
      </c>
      <c r="F855" s="89" t="s">
        <v>534</v>
      </c>
      <c r="H855" s="89">
        <f>'Справка 6'!Q15</f>
        <v>6794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43465</v>
      </c>
      <c r="D856" s="89" t="s">
        <v>537</v>
      </c>
      <c r="E856" s="89">
        <v>14</v>
      </c>
      <c r="F856" s="89" t="s">
        <v>536</v>
      </c>
      <c r="H856" s="89">
        <f>'Справка 6'!Q16</f>
        <v>9905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43465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43465</v>
      </c>
      <c r="D858" s="89" t="s">
        <v>543</v>
      </c>
      <c r="E858" s="89">
        <v>14</v>
      </c>
      <c r="F858" s="89" t="s">
        <v>542</v>
      </c>
      <c r="H858" s="89">
        <f>'Справка 6'!Q18</f>
        <v>79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43465</v>
      </c>
      <c r="D859" s="89" t="s">
        <v>545</v>
      </c>
      <c r="E859" s="89">
        <v>14</v>
      </c>
      <c r="F859" s="89" t="s">
        <v>828</v>
      </c>
      <c r="H859" s="89">
        <f>'Справка 6'!Q19</f>
        <v>155264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43465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43465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43465</v>
      </c>
      <c r="D862" s="89" t="s">
        <v>553</v>
      </c>
      <c r="E862" s="89">
        <v>14</v>
      </c>
      <c r="F862" s="89" t="s">
        <v>552</v>
      </c>
      <c r="H862" s="89">
        <f>'Справка 6'!Q23</f>
        <v>7939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43465</v>
      </c>
      <c r="D863" s="89" t="s">
        <v>555</v>
      </c>
      <c r="E863" s="89">
        <v>14</v>
      </c>
      <c r="F863" s="89" t="s">
        <v>554</v>
      </c>
      <c r="H863" s="89">
        <f>'Справка 6'!Q24</f>
        <v>3083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43465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43465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43465</v>
      </c>
      <c r="D866" s="89" t="s">
        <v>560</v>
      </c>
      <c r="E866" s="89">
        <v>14</v>
      </c>
      <c r="F866" s="89" t="s">
        <v>863</v>
      </c>
      <c r="H866" s="89">
        <f>'Справка 6'!Q27</f>
        <v>11022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43465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43465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43465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43465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43465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43465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43465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43465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43465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43465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43465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43465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43465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43465</v>
      </c>
      <c r="D880" s="89" t="s">
        <v>583</v>
      </c>
      <c r="E880" s="89">
        <v>14</v>
      </c>
      <c r="F880" s="89" t="s">
        <v>582</v>
      </c>
      <c r="H880" s="89">
        <f>'Справка 6'!Q42</f>
        <v>166286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43465</v>
      </c>
      <c r="D881" s="89" t="s">
        <v>523</v>
      </c>
      <c r="E881" s="89">
        <v>15</v>
      </c>
      <c r="F881" s="89" t="s">
        <v>522</v>
      </c>
      <c r="H881" s="89">
        <f>'Справка 6'!R11</f>
        <v>43627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43465</v>
      </c>
      <c r="D882" s="89" t="s">
        <v>526</v>
      </c>
      <c r="E882" s="89">
        <v>15</v>
      </c>
      <c r="F882" s="89" t="s">
        <v>525</v>
      </c>
      <c r="H882" s="89">
        <f>'Справка 6'!R12</f>
        <v>89690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43465</v>
      </c>
      <c r="D883" s="89" t="s">
        <v>529</v>
      </c>
      <c r="E883" s="89">
        <v>15</v>
      </c>
      <c r="F883" s="89" t="s">
        <v>528</v>
      </c>
      <c r="H883" s="89">
        <f>'Справка 6'!R13</f>
        <v>72725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43465</v>
      </c>
      <c r="D884" s="89" t="s">
        <v>532</v>
      </c>
      <c r="E884" s="89">
        <v>15</v>
      </c>
      <c r="F884" s="89" t="s">
        <v>531</v>
      </c>
      <c r="H884" s="89">
        <f>'Справка 6'!R14</f>
        <v>10967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43465</v>
      </c>
      <c r="D885" s="89" t="s">
        <v>535</v>
      </c>
      <c r="E885" s="89">
        <v>15</v>
      </c>
      <c r="F885" s="89" t="s">
        <v>534</v>
      </c>
      <c r="H885" s="89">
        <f>'Справка 6'!R15</f>
        <v>1713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43465</v>
      </c>
      <c r="D886" s="89" t="s">
        <v>537</v>
      </c>
      <c r="E886" s="89">
        <v>15</v>
      </c>
      <c r="F886" s="89" t="s">
        <v>536</v>
      </c>
      <c r="H886" s="89">
        <f>'Справка 6'!R16</f>
        <v>2476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43465</v>
      </c>
      <c r="D887" s="89" t="s">
        <v>540</v>
      </c>
      <c r="E887" s="89">
        <v>15</v>
      </c>
      <c r="F887" s="89" t="s">
        <v>539</v>
      </c>
      <c r="H887" s="89">
        <f>'Справка 6'!R17</f>
        <v>4775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43465</v>
      </c>
      <c r="D888" s="89" t="s">
        <v>543</v>
      </c>
      <c r="E888" s="89">
        <v>15</v>
      </c>
      <c r="F888" s="89" t="s">
        <v>542</v>
      </c>
      <c r="H888" s="89">
        <f>'Справка 6'!R18</f>
        <v>45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43465</v>
      </c>
      <c r="D889" s="89" t="s">
        <v>545</v>
      </c>
      <c r="E889" s="89">
        <v>15</v>
      </c>
      <c r="F889" s="89" t="s">
        <v>828</v>
      </c>
      <c r="H889" s="89">
        <f>'Справка 6'!R19</f>
        <v>226018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43465</v>
      </c>
      <c r="D890" s="89" t="s">
        <v>547</v>
      </c>
      <c r="E890" s="89">
        <v>15</v>
      </c>
      <c r="F890" s="89" t="s">
        <v>546</v>
      </c>
      <c r="H890" s="89">
        <f>'Справка 6'!R20</f>
        <v>37451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43465</v>
      </c>
      <c r="D891" s="89" t="s">
        <v>549</v>
      </c>
      <c r="E891" s="89">
        <v>15</v>
      </c>
      <c r="F891" s="89" t="s">
        <v>548</v>
      </c>
      <c r="H891" s="89">
        <f>'Справка 6'!R21</f>
        <v>938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43465</v>
      </c>
      <c r="D892" s="89" t="s">
        <v>553</v>
      </c>
      <c r="E892" s="89">
        <v>15</v>
      </c>
      <c r="F892" s="89" t="s">
        <v>552</v>
      </c>
      <c r="H892" s="89">
        <f>'Справка 6'!R23</f>
        <v>3729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43465</v>
      </c>
      <c r="D893" s="89" t="s">
        <v>555</v>
      </c>
      <c r="E893" s="89">
        <v>15</v>
      </c>
      <c r="F893" s="89" t="s">
        <v>554</v>
      </c>
      <c r="H893" s="89">
        <f>'Справка 6'!R24</f>
        <v>1447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43465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43465</v>
      </c>
      <c r="D895" s="89" t="s">
        <v>558</v>
      </c>
      <c r="E895" s="89">
        <v>15</v>
      </c>
      <c r="F895" s="89" t="s">
        <v>542</v>
      </c>
      <c r="H895" s="89">
        <f>'Справка 6'!R26</f>
        <v>7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43465</v>
      </c>
      <c r="D896" s="89" t="s">
        <v>560</v>
      </c>
      <c r="E896" s="89">
        <v>15</v>
      </c>
      <c r="F896" s="89" t="s">
        <v>863</v>
      </c>
      <c r="H896" s="89">
        <f>'Справка 6'!R27</f>
        <v>5183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43465</v>
      </c>
      <c r="D897" s="89" t="s">
        <v>562</v>
      </c>
      <c r="E897" s="89">
        <v>15</v>
      </c>
      <c r="F897" s="89" t="s">
        <v>561</v>
      </c>
      <c r="H897" s="89">
        <f>'Справка 6'!R29</f>
        <v>105506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43465</v>
      </c>
      <c r="D898" s="89" t="s">
        <v>563</v>
      </c>
      <c r="E898" s="89">
        <v>15</v>
      </c>
      <c r="F898" s="89" t="s">
        <v>108</v>
      </c>
      <c r="H898" s="89">
        <f>'Справка 6'!R30</f>
        <v>89945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43465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43465</v>
      </c>
      <c r="D900" s="89" t="s">
        <v>565</v>
      </c>
      <c r="E900" s="89">
        <v>15</v>
      </c>
      <c r="F900" s="89" t="s">
        <v>113</v>
      </c>
      <c r="H900" s="89">
        <f>'Справка 6'!R32</f>
        <v>7962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43465</v>
      </c>
      <c r="D901" s="89" t="s">
        <v>566</v>
      </c>
      <c r="E901" s="89">
        <v>15</v>
      </c>
      <c r="F901" s="89" t="s">
        <v>115</v>
      </c>
      <c r="H901" s="89">
        <f>'Справка 6'!R33</f>
        <v>7599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43465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43465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43465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43465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43465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43465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43465</v>
      </c>
      <c r="D908" s="89" t="s">
        <v>578</v>
      </c>
      <c r="E908" s="89">
        <v>15</v>
      </c>
      <c r="F908" s="89" t="s">
        <v>827</v>
      </c>
      <c r="H908" s="89">
        <f>'Справка 6'!R40</f>
        <v>105506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43465</v>
      </c>
      <c r="D909" s="89" t="s">
        <v>581</v>
      </c>
      <c r="E909" s="89">
        <v>15</v>
      </c>
      <c r="F909" s="89" t="s">
        <v>580</v>
      </c>
      <c r="H909" s="89">
        <f>'Справка 6'!R41</f>
        <v>6698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43465</v>
      </c>
      <c r="D910" s="89" t="s">
        <v>583</v>
      </c>
      <c r="E910" s="89">
        <v>15</v>
      </c>
      <c r="F910" s="89" t="s">
        <v>582</v>
      </c>
      <c r="H910" s="89">
        <f>'Справка 6'!R42</f>
        <v>381794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43465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43465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23055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43465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22861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43465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43465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194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43465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2341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43465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3419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43465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43465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3419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43465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28815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43465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43465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91509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43465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19703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43465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71806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43465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0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43465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18868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43465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563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43465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3270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43465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43465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43465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4423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43465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43465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43465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43465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4423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43465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683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43465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43465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43465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160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43465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523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43465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119316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43465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148131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43465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43465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43465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43465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43465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43465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43465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43465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43465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43465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43465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43465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91509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43465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19703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43465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71806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43465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0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43465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18868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43465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563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43465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3270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43465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43465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43465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4423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43465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43465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43465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43465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4423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43465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683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43465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43465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43465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160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43465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523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43465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119316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43465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119316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43465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43465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23055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43465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22861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43465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43465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194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43465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2341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43465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3419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43465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43465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3419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43465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28815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43465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43465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43465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43465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43465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43465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43465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43465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43465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43465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43465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43465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43465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43465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43465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43465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43465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43465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43465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43465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43465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43465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28815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43465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43465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43465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43465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43465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9556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43465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9556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43465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43465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43465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43465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43465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43465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43465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43465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43465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9556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43465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6236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43465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633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43465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474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43465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43465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159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43465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65652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43465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65652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43465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43465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43465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43465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7168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43465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43465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43465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7168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43465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43465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17924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43465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43465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8775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43465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147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43465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5905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43465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1883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43465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414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43465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423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43465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1046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43465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1214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43465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1483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43465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92860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43465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108652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43465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43465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43465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43465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43465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43465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43465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43465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43465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43465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43465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43465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43465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43465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43465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43465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43465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633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43465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474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43465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43465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159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43465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65652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43465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65652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43465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43465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43465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43465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7168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43465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43465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43465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7168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43465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43465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17924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43465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43465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8775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43465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147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43465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5905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43465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1883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43465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414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43465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423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43465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1046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43465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1214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43465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1483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43465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92860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43465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92860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43465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43465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43465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43465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43465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9556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43465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9556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43465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43465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43465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43465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43465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43465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43465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43465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43465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9556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43465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6236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43465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43465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43465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43465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43465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43465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43465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43465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43465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43465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43465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43465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43465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43465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43465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43465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43465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43465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43465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43465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43465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43465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43465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43465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43465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43465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43465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15792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43465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43465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43465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43465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43465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55276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43465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55276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43465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43465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43465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43465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43465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43465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43465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43465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43465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55276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43465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43465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43465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43465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43465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43465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165778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43465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165778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43465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43465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43465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43465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43465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43465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43465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43465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43465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43465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43465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43465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43465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43465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43465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43465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43465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43465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43465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43465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165778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43465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221054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43465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43465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43465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0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43465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0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43465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43465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43465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327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43465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327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43465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43465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43465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43465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43465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43465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43465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327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43465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327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43465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40167682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43465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43465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43465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43465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43465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40177682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43465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43465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8881336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43465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43465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43465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43465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43465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43465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8881336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43465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43465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43465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43465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43465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43465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43465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43465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43465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43465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43465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43465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43465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43465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43465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43465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43465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43465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43465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43465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43465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43465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43465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43465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43465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43465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43465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43465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43465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69247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43465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43465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43465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43465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43465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69631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43465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43465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33337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43465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43465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43465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43465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43465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43465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33337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43465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124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43465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43465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43465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43465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43465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124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43465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43465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43465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43465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43465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43465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43465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43465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43465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0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43465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43465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43465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43465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43465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0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43465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43465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43465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43465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43465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43465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43465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43465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43465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69371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43465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43465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43465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43465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43465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69755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43465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43465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33337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43465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43465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43465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43465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43465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43465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33337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43465</v>
      </c>
      <c r="D1296" s="89" t="s">
        <v>793</v>
      </c>
      <c r="E1296" s="89">
        <v>1</v>
      </c>
      <c r="F1296" s="89" t="s">
        <v>792</v>
      </c>
      <c r="H1296" s="444">
        <f>'Справка 5'!C27</f>
        <v>55761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43465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43465</v>
      </c>
      <c r="D1298" s="89" t="s">
        <v>798</v>
      </c>
      <c r="E1298" s="89">
        <v>1</v>
      </c>
      <c r="F1298" s="89" t="s">
        <v>796</v>
      </c>
      <c r="H1298" s="444">
        <f>'Справка 5'!C61</f>
        <v>7962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43465</v>
      </c>
      <c r="D1299" s="89" t="s">
        <v>800</v>
      </c>
      <c r="E1299" s="89">
        <v>1</v>
      </c>
      <c r="F1299" s="89" t="s">
        <v>799</v>
      </c>
      <c r="H1299" s="444">
        <f>'Справка 5'!C78</f>
        <v>6032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43465</v>
      </c>
      <c r="D1300" s="89" t="s">
        <v>802</v>
      </c>
      <c r="E1300" s="89">
        <v>1</v>
      </c>
      <c r="F1300" s="89" t="s">
        <v>791</v>
      </c>
      <c r="H1300" s="444">
        <f>'Справка 5'!C79</f>
        <v>69755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43465</v>
      </c>
      <c r="D1301" s="89" t="s">
        <v>804</v>
      </c>
      <c r="E1301" s="89">
        <v>1</v>
      </c>
      <c r="F1301" s="89" t="s">
        <v>792</v>
      </c>
      <c r="H1301" s="444">
        <f>'Справка 5'!C97</f>
        <v>34184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43465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43465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43465</v>
      </c>
      <c r="D1304" s="89" t="s">
        <v>807</v>
      </c>
      <c r="E1304" s="89">
        <v>1</v>
      </c>
      <c r="F1304" s="89" t="s">
        <v>799</v>
      </c>
      <c r="H1304" s="444">
        <f>'Справка 5'!C148</f>
        <v>1567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43465</v>
      </c>
      <c r="D1305" s="89" t="s">
        <v>809</v>
      </c>
      <c r="E1305" s="89">
        <v>1</v>
      </c>
      <c r="F1305" s="89" t="s">
        <v>803</v>
      </c>
      <c r="H1305" s="444">
        <f>'Справка 5'!C149</f>
        <v>35751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43465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43465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43465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43465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43465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43465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43465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43465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43465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43465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43465</v>
      </c>
      <c r="D1316" s="89" t="s">
        <v>793</v>
      </c>
      <c r="E1316" s="89">
        <v>3</v>
      </c>
      <c r="F1316" s="89" t="s">
        <v>792</v>
      </c>
      <c r="H1316" s="444">
        <f>'Справка 5'!E27</f>
        <v>35512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43465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43465</v>
      </c>
      <c r="D1318" s="89" t="s">
        <v>798</v>
      </c>
      <c r="E1318" s="89">
        <v>3</v>
      </c>
      <c r="F1318" s="89" t="s">
        <v>796</v>
      </c>
      <c r="H1318" s="444">
        <f>'Справка 5'!E61</f>
        <v>7962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43465</v>
      </c>
      <c r="D1319" s="89" t="s">
        <v>800</v>
      </c>
      <c r="E1319" s="89">
        <v>3</v>
      </c>
      <c r="F1319" s="89" t="s">
        <v>799</v>
      </c>
      <c r="H1319" s="444">
        <f>'Справка 5'!E78</f>
        <v>5971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43465</v>
      </c>
      <c r="D1320" s="89" t="s">
        <v>802</v>
      </c>
      <c r="E1320" s="89">
        <v>3</v>
      </c>
      <c r="F1320" s="89" t="s">
        <v>791</v>
      </c>
      <c r="H1320" s="444">
        <f>'Справка 5'!E79</f>
        <v>49445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43465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43465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43465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43465</v>
      </c>
      <c r="D1324" s="89" t="s">
        <v>807</v>
      </c>
      <c r="E1324" s="89">
        <v>3</v>
      </c>
      <c r="F1324" s="89" t="s">
        <v>799</v>
      </c>
      <c r="H1324" s="444">
        <f>'Справка 5'!E148</f>
        <v>1567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43465</v>
      </c>
      <c r="D1325" s="89" t="s">
        <v>809</v>
      </c>
      <c r="E1325" s="89">
        <v>3</v>
      </c>
      <c r="F1325" s="89" t="s">
        <v>803</v>
      </c>
      <c r="H1325" s="444">
        <f>'Справка 5'!E149</f>
        <v>1567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43465</v>
      </c>
      <c r="D1326" s="89" t="s">
        <v>793</v>
      </c>
      <c r="E1326" s="89">
        <v>4</v>
      </c>
      <c r="F1326" s="89" t="s">
        <v>792</v>
      </c>
      <c r="H1326" s="444">
        <f>'Справка 5'!F27</f>
        <v>20249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43465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43465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43465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43465</v>
      </c>
      <c r="D1330" s="89" t="s">
        <v>802</v>
      </c>
      <c r="E1330" s="89">
        <v>4</v>
      </c>
      <c r="F1330" s="89" t="s">
        <v>791</v>
      </c>
      <c r="H1330" s="444">
        <f>'Справка 5'!F79</f>
        <v>20310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43465</v>
      </c>
      <c r="D1331" s="89" t="s">
        <v>804</v>
      </c>
      <c r="E1331" s="89">
        <v>4</v>
      </c>
      <c r="F1331" s="89" t="s">
        <v>792</v>
      </c>
      <c r="H1331" s="444">
        <f>'Справка 5'!F97</f>
        <v>34184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43465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43465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43465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43465</v>
      </c>
      <c r="D1335" s="89" t="s">
        <v>809</v>
      </c>
      <c r="E1335" s="89">
        <v>4</v>
      </c>
      <c r="F1335" s="89" t="s">
        <v>803</v>
      </c>
      <c r="H1335" s="444">
        <f>'Справка 5'!F149</f>
        <v>34184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26" zoomScale="80" zoomScaleNormal="85" zoomScaleSheetLayoutView="80" workbookViewId="0">
      <selection activeCell="G30" sqref="G30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31.12.2018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+'Справка 6'!R11</f>
        <v>43627</v>
      </c>
      <c r="D12" s="161">
        <f>+'Справка 6'!D11-'Справка 6'!K11</f>
        <v>45061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89690</v>
      </c>
      <c r="D13" s="161">
        <f>+'Справка 6'!D12-'Справка 6'!K12</f>
        <v>97244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72725</v>
      </c>
      <c r="D14" s="161">
        <f>+'Справка 6'!D13-'Справка 6'!K13</f>
        <v>75628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10967</v>
      </c>
      <c r="D15" s="161">
        <f>+'Справка 6'!D14-'Справка 6'!K14</f>
        <v>11544</v>
      </c>
      <c r="E15" s="165" t="s">
        <v>36</v>
      </c>
      <c r="F15" s="80" t="s">
        <v>37</v>
      </c>
      <c r="G15" s="162">
        <v>-33337</v>
      </c>
      <c r="H15" s="161">
        <v>-33834</v>
      </c>
    </row>
    <row r="16" spans="1:8">
      <c r="A16" s="76" t="s">
        <v>38</v>
      </c>
      <c r="B16" s="78" t="s">
        <v>39</v>
      </c>
      <c r="C16" s="162">
        <f>+'Справка 6'!R15</f>
        <v>1713</v>
      </c>
      <c r="D16" s="161">
        <f>+'Справка 6'!D15-'Справка 6'!K15</f>
        <v>2743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2476</v>
      </c>
      <c r="D17" s="161">
        <f>+'Справка 6'!D16-'Справка 6'!K16</f>
        <v>3028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+'Справка 6'!R17</f>
        <v>4775</v>
      </c>
      <c r="D18" s="161">
        <f>+'Справка 6'!D17-'Справка 6'!K17</f>
        <v>4282</v>
      </c>
      <c r="E18" s="429" t="s">
        <v>47</v>
      </c>
      <c r="F18" s="428" t="s">
        <v>48</v>
      </c>
      <c r="G18" s="550">
        <f>G12+G15+G16+G17</f>
        <v>101461</v>
      </c>
      <c r="H18" s="551">
        <f>H12+H15+H16+H17</f>
        <v>100964</v>
      </c>
    </row>
    <row r="19" spans="1:13">
      <c r="A19" s="76" t="s">
        <v>49</v>
      </c>
      <c r="B19" s="78" t="s">
        <v>50</v>
      </c>
      <c r="C19" s="162">
        <f>+'Справка 6'!R18</f>
        <v>45</v>
      </c>
      <c r="D19" s="161">
        <f>+'Справка 6'!D18-'Справка 6'!K18</f>
        <v>52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226018</v>
      </c>
      <c r="D20" s="539">
        <f>SUM(D12:D19)</f>
        <v>239582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+'Справка 6'!R20</f>
        <v>37451</v>
      </c>
      <c r="D21" s="425">
        <f>+'Справка 6'!D20-'Справка 6'!K20</f>
        <v>24799</v>
      </c>
      <c r="E21" s="76" t="s">
        <v>58</v>
      </c>
      <c r="F21" s="80" t="s">
        <v>59</v>
      </c>
      <c r="G21" s="162">
        <f>+'4-Отчет за собствения капитал'!E34</f>
        <v>25366</v>
      </c>
      <c r="H21" s="161">
        <v>27928</v>
      </c>
    </row>
    <row r="22" spans="1:13">
      <c r="A22" s="85" t="s">
        <v>60</v>
      </c>
      <c r="B22" s="82" t="s">
        <v>61</v>
      </c>
      <c r="C22" s="425">
        <f>+'Справка 6'!R21</f>
        <v>938</v>
      </c>
      <c r="D22" s="425">
        <f>+'Справка 6'!D21-'Справка 6'!K21</f>
        <v>139</v>
      </c>
      <c r="E22" s="166" t="s">
        <v>62</v>
      </c>
      <c r="F22" s="80" t="s">
        <v>63</v>
      </c>
      <c r="G22" s="536">
        <f>SUM(G23:G25)</f>
        <v>331944</v>
      </c>
      <c r="H22" s="537">
        <f>SUM(H23:H25)</f>
        <v>302755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f>+'4-Отчет за собствения капитал'!F34</f>
        <v>55967</v>
      </c>
      <c r="H23" s="161">
        <v>51666</v>
      </c>
    </row>
    <row r="24" spans="1:13">
      <c r="A24" s="76" t="s">
        <v>67</v>
      </c>
      <c r="B24" s="78" t="s">
        <v>68</v>
      </c>
      <c r="C24" s="162">
        <f>+'Справка 6'!R23</f>
        <v>3729</v>
      </c>
      <c r="D24" s="161">
        <f>+'Справка 6'!D23-'Справка 6'!K23</f>
        <v>4022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1447</v>
      </c>
      <c r="D25" s="161">
        <f>+'Справка 6'!D24-'Справка 6'!K24</f>
        <v>1628</v>
      </c>
      <c r="E25" s="76" t="s">
        <v>73</v>
      </c>
      <c r="F25" s="80" t="s">
        <v>74</v>
      </c>
      <c r="G25" s="162">
        <f>+'4-Отчет за собствения капитал'!H34</f>
        <v>275977</v>
      </c>
      <c r="H25" s="161">
        <v>251089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f>+'Справка 6'!D25-'Справка 6'!K25</f>
        <v>0</v>
      </c>
      <c r="E26" s="432" t="s">
        <v>77</v>
      </c>
      <c r="F26" s="81" t="s">
        <v>78</v>
      </c>
      <c r="G26" s="538">
        <f>G20+G21+G22</f>
        <v>357310</v>
      </c>
      <c r="H26" s="539">
        <f>H20+H21+H22</f>
        <v>330683</v>
      </c>
      <c r="M26" s="83"/>
    </row>
    <row r="27" spans="1:13">
      <c r="A27" s="76" t="s">
        <v>79</v>
      </c>
      <c r="B27" s="78" t="s">
        <v>80</v>
      </c>
      <c r="C27" s="162">
        <f>+'Справка 6'!R26</f>
        <v>7</v>
      </c>
      <c r="D27" s="161">
        <f>+'Справка 6'!D26-'Справка 6'!K26</f>
        <v>109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5183</v>
      </c>
      <c r="D28" s="539">
        <f>SUM(D24:D27)</f>
        <v>5759</v>
      </c>
      <c r="E28" s="167" t="s">
        <v>84</v>
      </c>
      <c r="F28" s="80" t="s">
        <v>85</v>
      </c>
      <c r="G28" s="536">
        <f>SUM(G29:G31)</f>
        <v>-2850</v>
      </c>
      <c r="H28" s="537">
        <f>SUM(H29:H31)</f>
        <v>1603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-2850</v>
      </c>
      <c r="H29" s="161">
        <v>1603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6698</v>
      </c>
      <c r="D31" s="161">
        <f>+'Справка 6'!D41</f>
        <v>6698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33298</v>
      </c>
      <c r="H32" s="161">
        <v>44228</v>
      </c>
      <c r="M32" s="83"/>
    </row>
    <row r="33" spans="1:13">
      <c r="A33" s="430" t="s">
        <v>99</v>
      </c>
      <c r="B33" s="82" t="s">
        <v>100</v>
      </c>
      <c r="C33" s="538">
        <f>C31+C32</f>
        <v>6698</v>
      </c>
      <c r="D33" s="539">
        <f>D31+D32</f>
        <v>6698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30448</v>
      </c>
      <c r="H34" s="539">
        <f>H28+H32+H33</f>
        <v>45831</v>
      </c>
    </row>
    <row r="35" spans="1:13">
      <c r="A35" s="76" t="s">
        <v>106</v>
      </c>
      <c r="B35" s="78" t="s">
        <v>107</v>
      </c>
      <c r="C35" s="536">
        <f>SUM(C36:C39)</f>
        <v>105506</v>
      </c>
      <c r="D35" s="537">
        <f>SUM(D36:D39)</f>
        <v>105021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+'Справка 6'!R30</f>
        <v>89945</v>
      </c>
      <c r="D36" s="161">
        <f>+'Справка 6'!D30</f>
        <v>89729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f>+'Справка 6'!D31</f>
        <v>0</v>
      </c>
      <c r="E37" s="431" t="s">
        <v>847</v>
      </c>
      <c r="F37" s="84" t="s">
        <v>112</v>
      </c>
      <c r="G37" s="540">
        <f>G26+G18+G34</f>
        <v>489219</v>
      </c>
      <c r="H37" s="541">
        <f>H26+H18+H34</f>
        <v>477478</v>
      </c>
    </row>
    <row r="38" spans="1:13">
      <c r="A38" s="76" t="s">
        <v>113</v>
      </c>
      <c r="B38" s="78" t="s">
        <v>114</v>
      </c>
      <c r="C38" s="162">
        <f>+'Справка 6'!R32</f>
        <v>7962</v>
      </c>
      <c r="D38" s="161">
        <f>+'Справка 6'!D32</f>
        <v>7740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+'Справка 6'!R33</f>
        <v>7599</v>
      </c>
      <c r="D39" s="161">
        <f>+'Справка 6'!D33</f>
        <v>7552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9556</v>
      </c>
      <c r="H45" s="161">
        <v>16691</v>
      </c>
    </row>
    <row r="46" spans="1:13">
      <c r="A46" s="422" t="s">
        <v>137</v>
      </c>
      <c r="B46" s="82" t="s">
        <v>138</v>
      </c>
      <c r="C46" s="538">
        <f>C35+C40+C45</f>
        <v>105506</v>
      </c>
      <c r="D46" s="539">
        <f>D35+D40+D45</f>
        <v>105021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23055</v>
      </c>
      <c r="D48" s="161">
        <v>21583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2341</v>
      </c>
      <c r="D49" s="161">
        <v>945</v>
      </c>
      <c r="E49" s="76" t="s">
        <v>150</v>
      </c>
      <c r="F49" s="80" t="s">
        <v>151</v>
      </c>
      <c r="G49" s="162"/>
      <c r="H49" s="161"/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/>
      <c r="E50" s="166" t="s">
        <v>52</v>
      </c>
      <c r="F50" s="81" t="s">
        <v>154</v>
      </c>
      <c r="G50" s="536">
        <f>SUM(G44:G49)</f>
        <v>9556</v>
      </c>
      <c r="H50" s="537">
        <f>SUM(H44:H49)</f>
        <v>16691</v>
      </c>
    </row>
    <row r="51" spans="1:13">
      <c r="A51" s="76" t="s">
        <v>79</v>
      </c>
      <c r="B51" s="78" t="s">
        <v>155</v>
      </c>
      <c r="C51" s="162">
        <f>+'Справка 7'!C20</f>
        <v>3419</v>
      </c>
      <c r="D51" s="161">
        <v>3265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28815</v>
      </c>
      <c r="D52" s="539">
        <f>SUM(D48:D51)</f>
        <v>25793</v>
      </c>
      <c r="E52" s="166" t="s">
        <v>158</v>
      </c>
      <c r="F52" s="81" t="s">
        <v>159</v>
      </c>
      <c r="G52" s="162">
        <v>4418</v>
      </c>
      <c r="H52" s="161">
        <v>4139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6236</v>
      </c>
      <c r="H54" s="161">
        <v>7153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5397</v>
      </c>
      <c r="H55" s="161">
        <v>5930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410609</v>
      </c>
      <c r="D56" s="543">
        <f>D20+D21+D22+D28+D33+D46+D52+D54+D55</f>
        <v>407791</v>
      </c>
      <c r="E56" s="85" t="s">
        <v>850</v>
      </c>
      <c r="F56" s="84" t="s">
        <v>172</v>
      </c>
      <c r="G56" s="540">
        <f>G50+G52+G53+G54+G55</f>
        <v>25607</v>
      </c>
      <c r="H56" s="541">
        <f>H50+H52+H53+H54+H55</f>
        <v>33913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30458</v>
      </c>
      <c r="D59" s="162">
        <v>29238</v>
      </c>
      <c r="E59" s="166" t="s">
        <v>180</v>
      </c>
      <c r="F59" s="434" t="s">
        <v>181</v>
      </c>
      <c r="G59" s="162">
        <f>+'Справка 7'!C77</f>
        <v>65652</v>
      </c>
      <c r="H59" s="161">
        <v>53088</v>
      </c>
    </row>
    <row r="60" spans="1:13">
      <c r="A60" s="76" t="s">
        <v>178</v>
      </c>
      <c r="B60" s="78" t="s">
        <v>179</v>
      </c>
      <c r="C60" s="162">
        <v>30145</v>
      </c>
      <c r="D60" s="162">
        <v>33604</v>
      </c>
      <c r="E60" s="76" t="s">
        <v>184</v>
      </c>
      <c r="F60" s="80" t="s">
        <v>185</v>
      </c>
      <c r="G60" s="162">
        <f>+'Справка 7'!C82</f>
        <v>7168</v>
      </c>
      <c r="H60" s="161">
        <v>7392</v>
      </c>
      <c r="M60" s="83"/>
    </row>
    <row r="61" spans="1:13">
      <c r="A61" s="76" t="s">
        <v>182</v>
      </c>
      <c r="B61" s="78" t="s">
        <v>183</v>
      </c>
      <c r="C61" s="162">
        <v>66</v>
      </c>
      <c r="D61" s="162">
        <v>103</v>
      </c>
      <c r="E61" s="165" t="s">
        <v>188</v>
      </c>
      <c r="F61" s="80" t="s">
        <v>189</v>
      </c>
      <c r="G61" s="536">
        <f>SUM(G62:G68)</f>
        <v>18557</v>
      </c>
      <c r="H61" s="537">
        <f>SUM(H62:H68)</f>
        <v>17884</v>
      </c>
    </row>
    <row r="62" spans="1:13">
      <c r="A62" s="76" t="s">
        <v>186</v>
      </c>
      <c r="B62" s="78" t="s">
        <v>187</v>
      </c>
      <c r="C62" s="162">
        <v>7830</v>
      </c>
      <c r="D62" s="162">
        <v>6073</v>
      </c>
      <c r="E62" s="165" t="s">
        <v>192</v>
      </c>
      <c r="F62" s="80" t="s">
        <v>193</v>
      </c>
      <c r="G62" s="162">
        <f>+'Справка 7'!C73</f>
        <v>633</v>
      </c>
      <c r="H62" s="161">
        <v>818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8775</v>
      </c>
      <c r="H64" s="161">
        <v>7650</v>
      </c>
      <c r="M64" s="83"/>
    </row>
    <row r="65" spans="1:13">
      <c r="A65" s="430" t="s">
        <v>52</v>
      </c>
      <c r="B65" s="82" t="s">
        <v>198</v>
      </c>
      <c r="C65" s="538">
        <f>SUM(C59:C64)</f>
        <v>68499</v>
      </c>
      <c r="D65" s="539">
        <f>SUM(D59:D64)</f>
        <v>69018</v>
      </c>
      <c r="E65" s="76" t="s">
        <v>201</v>
      </c>
      <c r="F65" s="80" t="s">
        <v>202</v>
      </c>
      <c r="G65" s="162">
        <f>+'Справка 7'!C90</f>
        <v>147</v>
      </c>
      <c r="H65" s="161">
        <v>63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5905</v>
      </c>
      <c r="H66" s="161">
        <v>6443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1214</v>
      </c>
      <c r="H67" s="161">
        <v>1385</v>
      </c>
    </row>
    <row r="68" spans="1:13">
      <c r="A68" s="76" t="s">
        <v>206</v>
      </c>
      <c r="B68" s="78" t="s">
        <v>207</v>
      </c>
      <c r="C68" s="162">
        <f>+'Справка 7'!C26</f>
        <v>91509</v>
      </c>
      <c r="D68" s="161">
        <v>77218</v>
      </c>
      <c r="E68" s="76" t="s">
        <v>212</v>
      </c>
      <c r="F68" s="80" t="s">
        <v>213</v>
      </c>
      <c r="G68" s="162">
        <f>+'Справка 7'!C92</f>
        <v>1883</v>
      </c>
      <c r="H68" s="161">
        <v>1525</v>
      </c>
    </row>
    <row r="69" spans="1:13">
      <c r="A69" s="76" t="s">
        <v>210</v>
      </c>
      <c r="B69" s="78" t="s">
        <v>211</v>
      </c>
      <c r="C69" s="162">
        <f>+'Справка 7'!C30</f>
        <v>18868</v>
      </c>
      <c r="D69" s="161">
        <v>22075</v>
      </c>
      <c r="E69" s="166" t="s">
        <v>79</v>
      </c>
      <c r="F69" s="80" t="s">
        <v>216</v>
      </c>
      <c r="G69" s="162">
        <f>+'Справка 7'!C97</f>
        <v>1483</v>
      </c>
      <c r="H69" s="161">
        <v>800</v>
      </c>
    </row>
    <row r="70" spans="1:13">
      <c r="A70" s="76" t="s">
        <v>214</v>
      </c>
      <c r="B70" s="78" t="s">
        <v>215</v>
      </c>
      <c r="C70" s="162">
        <f>+'Справка 7'!C31</f>
        <v>563</v>
      </c>
      <c r="D70" s="161">
        <v>1183</v>
      </c>
      <c r="E70" s="76" t="s">
        <v>219</v>
      </c>
      <c r="F70" s="80" t="s">
        <v>220</v>
      </c>
      <c r="G70" s="162"/>
      <c r="H70" s="161">
        <v>0</v>
      </c>
    </row>
    <row r="71" spans="1:13">
      <c r="A71" s="76" t="s">
        <v>217</v>
      </c>
      <c r="B71" s="78" t="s">
        <v>218</v>
      </c>
      <c r="C71" s="162">
        <f>+'Справка 7'!C32</f>
        <v>3270</v>
      </c>
      <c r="D71" s="161">
        <v>3201</v>
      </c>
      <c r="E71" s="423" t="s">
        <v>47</v>
      </c>
      <c r="F71" s="81" t="s">
        <v>223</v>
      </c>
      <c r="G71" s="538">
        <f>G59+G60+G61+G69+G70</f>
        <v>92860</v>
      </c>
      <c r="H71" s="539">
        <f>H59+H60+H61+H69+H70</f>
        <v>79164</v>
      </c>
    </row>
    <row r="72" spans="1:13">
      <c r="A72" s="76" t="s">
        <v>221</v>
      </c>
      <c r="B72" s="78" t="s">
        <v>222</v>
      </c>
      <c r="C72" s="162">
        <f>+'Справка 7'!C33+'Справка 7'!C34</f>
        <v>0</v>
      </c>
      <c r="D72" s="161"/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+'Справка 7'!C35</f>
        <v>4423</v>
      </c>
      <c r="D73" s="161">
        <v>3463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/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+'Справка 7'!C40</f>
        <v>683</v>
      </c>
      <c r="D75" s="161">
        <v>589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119316</v>
      </c>
      <c r="D76" s="539">
        <f>SUM(D68:D75)</f>
        <v>107729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540</v>
      </c>
      <c r="H77" s="427">
        <v>596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93400</v>
      </c>
      <c r="H79" s="541">
        <f>H71+H73+H75+H77</f>
        <v>79760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29</v>
      </c>
      <c r="D88" s="162">
        <v>122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8930</v>
      </c>
      <c r="D89" s="162">
        <v>5631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12</v>
      </c>
      <c r="D90" s="162">
        <v>11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2">
        <v>0</v>
      </c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8971</v>
      </c>
      <c r="D92" s="539">
        <f>SUM(D88:D91)</f>
        <v>5764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831</v>
      </c>
      <c r="D93" s="427">
        <v>849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197617</v>
      </c>
      <c r="D94" s="543">
        <f>D65+D76+D85+D92+D93</f>
        <v>183360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608226</v>
      </c>
      <c r="D95" s="545">
        <f>D94+D56</f>
        <v>591151</v>
      </c>
      <c r="E95" s="193" t="s">
        <v>942</v>
      </c>
      <c r="F95" s="437" t="s">
        <v>268</v>
      </c>
      <c r="G95" s="544">
        <f>G37+G40+G56+G79</f>
        <v>608226</v>
      </c>
      <c r="H95" s="545">
        <f>H37+H40+H56+H79</f>
        <v>591151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0" t="s">
        <v>977</v>
      </c>
      <c r="B98" s="628">
        <f>pdeReportingDate</f>
        <v>43551</v>
      </c>
      <c r="C98" s="628"/>
      <c r="D98" s="628"/>
      <c r="E98" s="628"/>
      <c r="F98" s="628"/>
      <c r="G98" s="628"/>
      <c r="H98" s="628"/>
      <c r="M98" s="83"/>
    </row>
    <row r="99" spans="1:13">
      <c r="A99" s="620"/>
      <c r="B99" s="46"/>
      <c r="C99" s="46"/>
      <c r="D99" s="46"/>
      <c r="E99" s="46"/>
      <c r="F99" s="46"/>
      <c r="G99" s="46"/>
      <c r="H99" s="46"/>
      <c r="M99" s="83"/>
    </row>
    <row r="100" spans="1:13">
      <c r="A100" s="621" t="s">
        <v>8</v>
      </c>
      <c r="B100" s="629" t="str">
        <f>authorName</f>
        <v>ЙОРДАНКА ПЕТКОВА</v>
      </c>
      <c r="C100" s="629"/>
      <c r="D100" s="629"/>
      <c r="E100" s="629"/>
      <c r="F100" s="629"/>
      <c r="G100" s="629"/>
      <c r="H100" s="629"/>
    </row>
    <row r="101" spans="1:13">
      <c r="A101" s="621"/>
      <c r="B101" s="68"/>
      <c r="C101" s="68"/>
      <c r="D101" s="68"/>
      <c r="E101" s="68"/>
      <c r="F101" s="68"/>
      <c r="G101" s="68"/>
      <c r="H101" s="68"/>
    </row>
    <row r="102" spans="1:13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990</v>
      </c>
      <c r="C103" s="627"/>
      <c r="D103" s="627"/>
      <c r="E103" s="627"/>
      <c r="M103" s="83"/>
    </row>
    <row r="104" spans="1:13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13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13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80" zoomScaleNormal="70" zoomScaleSheetLayoutView="80" workbookViewId="0">
      <selection activeCell="C39" sqref="C39:C40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31.12.2018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75752</v>
      </c>
      <c r="D12" s="278">
        <v>76906</v>
      </c>
      <c r="E12" s="159" t="s">
        <v>277</v>
      </c>
      <c r="F12" s="204" t="s">
        <v>278</v>
      </c>
      <c r="G12" s="277">
        <v>210784</v>
      </c>
      <c r="H12" s="278">
        <v>217485</v>
      </c>
    </row>
    <row r="13" spans="1:8">
      <c r="A13" s="159" t="s">
        <v>279</v>
      </c>
      <c r="B13" s="157" t="s">
        <v>280</v>
      </c>
      <c r="C13" s="277">
        <v>38654</v>
      </c>
      <c r="D13" s="278">
        <v>33921</v>
      </c>
      <c r="E13" s="159" t="s">
        <v>281</v>
      </c>
      <c r="F13" s="204" t="s">
        <v>282</v>
      </c>
      <c r="G13" s="277">
        <v>1480</v>
      </c>
      <c r="H13" s="278">
        <v>1366</v>
      </c>
    </row>
    <row r="14" spans="1:8">
      <c r="A14" s="159" t="s">
        <v>283</v>
      </c>
      <c r="B14" s="157" t="s">
        <v>284</v>
      </c>
      <c r="C14" s="277">
        <v>17414</v>
      </c>
      <c r="D14" s="278">
        <v>18447</v>
      </c>
      <c r="E14" s="159" t="s">
        <v>285</v>
      </c>
      <c r="F14" s="204" t="s">
        <v>286</v>
      </c>
      <c r="G14" s="277">
        <v>4246</v>
      </c>
      <c r="H14" s="278">
        <v>3471</v>
      </c>
    </row>
    <row r="15" spans="1:8">
      <c r="A15" s="159" t="s">
        <v>287</v>
      </c>
      <c r="B15" s="157" t="s">
        <v>288</v>
      </c>
      <c r="C15" s="277">
        <v>40425</v>
      </c>
      <c r="D15" s="278">
        <v>38737</v>
      </c>
      <c r="E15" s="159" t="s">
        <v>79</v>
      </c>
      <c r="F15" s="204" t="s">
        <v>289</v>
      </c>
      <c r="G15" s="277">
        <v>3151</v>
      </c>
      <c r="H15" s="278">
        <v>1789</v>
      </c>
    </row>
    <row r="16" spans="1:8">
      <c r="A16" s="159" t="s">
        <v>290</v>
      </c>
      <c r="B16" s="157" t="s">
        <v>291</v>
      </c>
      <c r="C16" s="277">
        <v>9722</v>
      </c>
      <c r="D16" s="278">
        <v>10496</v>
      </c>
      <c r="E16" s="200" t="s">
        <v>52</v>
      </c>
      <c r="F16" s="226" t="s">
        <v>292</v>
      </c>
      <c r="G16" s="565">
        <f>SUM(G12:G15)</f>
        <v>219661</v>
      </c>
      <c r="H16" s="566">
        <f>SUM(H12:H15)</f>
        <v>224111</v>
      </c>
    </row>
    <row r="17" spans="1:8" ht="31.5">
      <c r="A17" s="159" t="s">
        <v>293</v>
      </c>
      <c r="B17" s="157" t="s">
        <v>294</v>
      </c>
      <c r="C17" s="277">
        <v>2695</v>
      </c>
      <c r="D17" s="278">
        <v>2464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-2016</v>
      </c>
      <c r="D18" s="278">
        <v>-6439</v>
      </c>
      <c r="E18" s="198" t="s">
        <v>297</v>
      </c>
      <c r="F18" s="202" t="s">
        <v>298</v>
      </c>
      <c r="G18" s="574">
        <v>588</v>
      </c>
      <c r="H18" s="574">
        <v>847</v>
      </c>
    </row>
    <row r="19" spans="1:8">
      <c r="A19" s="159" t="s">
        <v>299</v>
      </c>
      <c r="B19" s="157" t="s">
        <v>300</v>
      </c>
      <c r="C19" s="277">
        <v>9655</v>
      </c>
      <c r="D19" s="278">
        <v>11181</v>
      </c>
      <c r="E19" s="159" t="s">
        <v>301</v>
      </c>
      <c r="F19" s="201" t="s">
        <v>302</v>
      </c>
      <c r="G19" s="277">
        <v>588</v>
      </c>
      <c r="H19" s="278">
        <v>847</v>
      </c>
    </row>
    <row r="20" spans="1:8">
      <c r="A20" s="199" t="s">
        <v>303</v>
      </c>
      <c r="B20" s="157" t="s">
        <v>304</v>
      </c>
      <c r="C20" s="277">
        <v>3716</v>
      </c>
      <c r="D20" s="278">
        <v>6184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192301</v>
      </c>
      <c r="D22" s="566">
        <f>SUM(D12:D18)+D19</f>
        <v>185713</v>
      </c>
      <c r="E22" s="159" t="s">
        <v>309</v>
      </c>
      <c r="F22" s="201" t="s">
        <v>310</v>
      </c>
      <c r="G22" s="277">
        <v>1579</v>
      </c>
      <c r="H22" s="278">
        <v>1699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8789</v>
      </c>
      <c r="H23" s="278">
        <v>7314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>
        <v>1246</v>
      </c>
    </row>
    <row r="25" spans="1:8" ht="31.5">
      <c r="A25" s="159" t="s">
        <v>316</v>
      </c>
      <c r="B25" s="201" t="s">
        <v>317</v>
      </c>
      <c r="C25" s="277">
        <v>1256</v>
      </c>
      <c r="D25" s="278">
        <v>1364</v>
      </c>
      <c r="E25" s="159" t="s">
        <v>318</v>
      </c>
      <c r="F25" s="201" t="s">
        <v>319</v>
      </c>
      <c r="G25" s="277">
        <v>152</v>
      </c>
      <c r="H25" s="278"/>
    </row>
    <row r="26" spans="1:8" ht="31.5">
      <c r="A26" s="159" t="s">
        <v>320</v>
      </c>
      <c r="B26" s="201" t="s">
        <v>321</v>
      </c>
      <c r="C26" s="277">
        <v>47</v>
      </c>
      <c r="D26" s="278">
        <v>74</v>
      </c>
      <c r="E26" s="159" t="s">
        <v>322</v>
      </c>
      <c r="F26" s="201" t="s">
        <v>323</v>
      </c>
      <c r="G26" s="277"/>
      <c r="H26" s="278">
        <v>1425</v>
      </c>
    </row>
    <row r="27" spans="1:8" ht="31.5">
      <c r="A27" s="159" t="s">
        <v>324</v>
      </c>
      <c r="B27" s="201" t="s">
        <v>325</v>
      </c>
      <c r="C27" s="277">
        <v>226</v>
      </c>
      <c r="D27" s="278">
        <v>778</v>
      </c>
      <c r="E27" s="200" t="s">
        <v>104</v>
      </c>
      <c r="F27" s="202" t="s">
        <v>326</v>
      </c>
      <c r="G27" s="565">
        <f>SUM(G22:G26)</f>
        <v>10520</v>
      </c>
      <c r="H27" s="566">
        <f>SUM(H22:H26)</f>
        <v>11684</v>
      </c>
    </row>
    <row r="28" spans="1:8">
      <c r="A28" s="159" t="s">
        <v>79</v>
      </c>
      <c r="B28" s="201" t="s">
        <v>327</v>
      </c>
      <c r="C28" s="277">
        <v>406</v>
      </c>
      <c r="D28" s="278">
        <v>221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1935</v>
      </c>
      <c r="D29" s="566">
        <f>SUM(D25:D28)</f>
        <v>2437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194236</v>
      </c>
      <c r="D31" s="216">
        <f>D29+D22</f>
        <v>188150</v>
      </c>
      <c r="E31" s="213" t="s">
        <v>824</v>
      </c>
      <c r="F31" s="228" t="s">
        <v>331</v>
      </c>
      <c r="G31" s="215">
        <f>G16+G18+G27</f>
        <v>230769</v>
      </c>
      <c r="H31" s="216">
        <f>H16+H18+H27</f>
        <v>236642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36533</v>
      </c>
      <c r="D33" s="207">
        <f>IF((H31-D31)&gt;0,H31-D31,0)</f>
        <v>48492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194236</v>
      </c>
      <c r="D36" s="572">
        <f>D31-D34+D35</f>
        <v>188150</v>
      </c>
      <c r="E36" s="224" t="s">
        <v>346</v>
      </c>
      <c r="F36" s="218" t="s">
        <v>347</v>
      </c>
      <c r="G36" s="229">
        <f>G35-G34+G31</f>
        <v>230769</v>
      </c>
      <c r="H36" s="230">
        <f>H35-H34+H31</f>
        <v>236642</v>
      </c>
    </row>
    <row r="37" spans="1:8">
      <c r="A37" s="223" t="s">
        <v>348</v>
      </c>
      <c r="B37" s="195" t="s">
        <v>349</v>
      </c>
      <c r="C37" s="215">
        <f>IF((G36-C36)&gt;0,G36-C36,0)</f>
        <v>36533</v>
      </c>
      <c r="D37" s="216">
        <f>IF((H36-D36)&gt;0,H36-D36,0)</f>
        <v>48492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3235</v>
      </c>
      <c r="D38" s="566">
        <f>D39+D40+D41</f>
        <v>4264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3948</v>
      </c>
      <c r="D39" s="278">
        <v>4305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-713</v>
      </c>
      <c r="D40" s="278">
        <v>-41</v>
      </c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33298</v>
      </c>
      <c r="D42" s="207">
        <f>+IF((H36-D36-D38)&gt;0,H36-D36-D38,0)</f>
        <v>44228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33298</v>
      </c>
      <c r="D44" s="230">
        <f>IF(H42=0,IF(D42-D43&gt;0,D42-D43+H43,0),IF(H42-H43&lt;0,H43-H42+D42,0))</f>
        <v>44228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230769</v>
      </c>
      <c r="D45" s="568">
        <f>D36+D38+D42</f>
        <v>236642</v>
      </c>
      <c r="E45" s="232" t="s">
        <v>373</v>
      </c>
      <c r="F45" s="234" t="s">
        <v>374</v>
      </c>
      <c r="G45" s="567">
        <f>G42+G36</f>
        <v>230769</v>
      </c>
      <c r="H45" s="568">
        <f>H42+H36</f>
        <v>236642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1" t="s">
        <v>978</v>
      </c>
      <c r="B47" s="631"/>
      <c r="C47" s="631"/>
      <c r="D47" s="631"/>
      <c r="E47" s="631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0" t="s">
        <v>977</v>
      </c>
      <c r="B50" s="628">
        <f>pdeReportingDate</f>
        <v>43551</v>
      </c>
      <c r="C50" s="628"/>
      <c r="D50" s="628"/>
      <c r="E50" s="628"/>
      <c r="F50" s="628"/>
      <c r="G50" s="628"/>
      <c r="H50" s="628"/>
      <c r="M50" s="83"/>
    </row>
    <row r="51" spans="1:13" s="37" customFormat="1">
      <c r="A51" s="620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1" t="s">
        <v>8</v>
      </c>
      <c r="B52" s="629" t="str">
        <f>authorName</f>
        <v>ЙОРДАНКА ПЕТКОВА</v>
      </c>
      <c r="C52" s="629"/>
      <c r="D52" s="629"/>
      <c r="E52" s="629"/>
      <c r="F52" s="629"/>
      <c r="G52" s="629"/>
      <c r="H52" s="629"/>
    </row>
    <row r="53" spans="1:13" s="37" customFormat="1">
      <c r="A53" s="621"/>
      <c r="B53" s="68"/>
      <c r="C53" s="68"/>
      <c r="D53" s="68"/>
      <c r="E53" s="68"/>
      <c r="F53" s="68"/>
      <c r="G53" s="68"/>
      <c r="H53" s="68"/>
    </row>
    <row r="54" spans="1:13" s="37" customFormat="1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13" ht="15.75" customHeight="1">
      <c r="A55" s="622"/>
      <c r="B55" s="627" t="s">
        <v>990</v>
      </c>
      <c r="C55" s="627"/>
      <c r="D55" s="627"/>
      <c r="E55" s="627"/>
      <c r="F55" s="516"/>
      <c r="G55" s="40"/>
      <c r="H55" s="37"/>
    </row>
    <row r="56" spans="1:13" ht="15.75" customHeight="1">
      <c r="A56" s="622"/>
      <c r="B56" s="627" t="s">
        <v>979</v>
      </c>
      <c r="C56" s="627"/>
      <c r="D56" s="627"/>
      <c r="E56" s="627"/>
      <c r="F56" s="516"/>
      <c r="G56" s="40"/>
      <c r="H56" s="37"/>
    </row>
    <row r="57" spans="1:13" ht="15.75" customHeight="1">
      <c r="A57" s="622"/>
      <c r="B57" s="627" t="s">
        <v>979</v>
      </c>
      <c r="C57" s="627"/>
      <c r="D57" s="627"/>
      <c r="E57" s="627"/>
      <c r="F57" s="516"/>
      <c r="G57" s="40"/>
      <c r="H57" s="37"/>
    </row>
    <row r="58" spans="1:13" ht="15.75" customHeight="1">
      <c r="A58" s="622"/>
      <c r="B58" s="627" t="s">
        <v>979</v>
      </c>
      <c r="C58" s="627"/>
      <c r="D58" s="627"/>
      <c r="E58" s="627"/>
      <c r="F58" s="516"/>
      <c r="G58" s="40"/>
      <c r="H58" s="37"/>
    </row>
    <row r="59" spans="1:13">
      <c r="A59" s="622"/>
      <c r="B59" s="627"/>
      <c r="C59" s="627"/>
      <c r="D59" s="627"/>
      <c r="E59" s="627"/>
      <c r="F59" s="516"/>
      <c r="G59" s="40"/>
      <c r="H59" s="37"/>
    </row>
    <row r="60" spans="1:13">
      <c r="A60" s="622"/>
      <c r="B60" s="627"/>
      <c r="C60" s="627"/>
      <c r="D60" s="627"/>
      <c r="E60" s="627"/>
      <c r="F60" s="516"/>
      <c r="G60" s="40"/>
      <c r="H60" s="37"/>
    </row>
    <row r="61" spans="1:13">
      <c r="A61" s="622"/>
      <c r="B61" s="627"/>
      <c r="C61" s="627"/>
      <c r="D61" s="627"/>
      <c r="E61" s="627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30" zoomScaleNormal="100" zoomScaleSheetLayoutView="80" workbookViewId="0">
      <selection activeCell="C47" sqref="C47:C48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31.12.2018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220302</v>
      </c>
      <c r="D11" s="161">
        <v>231653</v>
      </c>
    </row>
    <row r="12" spans="1:13">
      <c r="A12" s="239" t="s">
        <v>380</v>
      </c>
      <c r="B12" s="149" t="s">
        <v>381</v>
      </c>
      <c r="C12" s="162">
        <v>-128291</v>
      </c>
      <c r="D12" s="161">
        <v>-126572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-47343</v>
      </c>
      <c r="D14" s="161">
        <v>-45733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-6186</v>
      </c>
      <c r="D15" s="161">
        <v>-6585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-4062</v>
      </c>
      <c r="D16" s="161">
        <v>-3332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-1090</v>
      </c>
      <c r="D18" s="161">
        <v>-999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-165</v>
      </c>
      <c r="D19" s="161">
        <v>-309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-848</v>
      </c>
      <c r="D20" s="161">
        <v>-1186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32317</v>
      </c>
      <c r="D21" s="589">
        <f>SUM(D11:D20)</f>
        <v>46937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-10889</v>
      </c>
      <c r="D23" s="161">
        <v>-13852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272</v>
      </c>
      <c r="D24" s="161">
        <v>417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-38710</v>
      </c>
      <c r="D25" s="161">
        <v>-111033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27810</v>
      </c>
      <c r="D26" s="161">
        <v>104655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1064</v>
      </c>
      <c r="D27" s="161">
        <v>3340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-2228</v>
      </c>
      <c r="D28" s="161">
        <v>-16087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914</v>
      </c>
      <c r="D29" s="161">
        <v>3824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8789</v>
      </c>
      <c r="D30" s="161">
        <v>7314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-54</v>
      </c>
      <c r="D32" s="161">
        <v>-65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-13032</v>
      </c>
      <c r="D33" s="589">
        <f>SUM(D23:D32)</f>
        <v>-21487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6"/>
      <c r="D34" s="587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>
        <v>-861</v>
      </c>
      <c r="D36" s="161">
        <v>-17026</v>
      </c>
    </row>
    <row r="37" spans="1:13">
      <c r="A37" s="239" t="s">
        <v>427</v>
      </c>
      <c r="B37" s="149" t="s">
        <v>428</v>
      </c>
      <c r="C37" s="162">
        <v>22031</v>
      </c>
      <c r="D37" s="161">
        <v>7866</v>
      </c>
    </row>
    <row r="38" spans="1:13">
      <c r="A38" s="239" t="s">
        <v>429</v>
      </c>
      <c r="B38" s="149" t="s">
        <v>430</v>
      </c>
      <c r="C38" s="162">
        <v>-16823</v>
      </c>
      <c r="D38" s="161">
        <v>-10506</v>
      </c>
    </row>
    <row r="39" spans="1:13">
      <c r="A39" s="239" t="s">
        <v>431</v>
      </c>
      <c r="B39" s="149" t="s">
        <v>432</v>
      </c>
      <c r="C39" s="162">
        <v>-71</v>
      </c>
      <c r="D39" s="161">
        <v>-275</v>
      </c>
    </row>
    <row r="40" spans="1:13" ht="31.5">
      <c r="A40" s="239" t="s">
        <v>433</v>
      </c>
      <c r="B40" s="149" t="s">
        <v>434</v>
      </c>
      <c r="C40" s="162">
        <v>-365</v>
      </c>
      <c r="D40" s="161">
        <v>-555</v>
      </c>
    </row>
    <row r="41" spans="1:13">
      <c r="A41" s="239" t="s">
        <v>435</v>
      </c>
      <c r="B41" s="149" t="s">
        <v>436</v>
      </c>
      <c r="C41" s="162">
        <v>-20000</v>
      </c>
      <c r="D41" s="161">
        <v>-12872</v>
      </c>
    </row>
    <row r="42" spans="1:13">
      <c r="A42" s="239" t="s">
        <v>437</v>
      </c>
      <c r="B42" s="149" t="s">
        <v>438</v>
      </c>
      <c r="C42" s="162">
        <v>11</v>
      </c>
      <c r="D42" s="161">
        <v>2526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0">
        <f>SUM(C35:C42)</f>
        <v>-16078</v>
      </c>
      <c r="D43" s="591">
        <f>SUM(D35:D42)</f>
        <v>-30842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3207</v>
      </c>
      <c r="D44" s="268">
        <f>D43+D33+D21</f>
        <v>-5392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5764</v>
      </c>
      <c r="D45" s="270">
        <v>11156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8971</v>
      </c>
      <c r="D46" s="272">
        <f>D45+D44</f>
        <v>5764</v>
      </c>
      <c r="G46" s="150"/>
      <c r="H46" s="150"/>
    </row>
    <row r="47" spans="1:13">
      <c r="A47" s="264" t="s">
        <v>447</v>
      </c>
      <c r="B47" s="273" t="s">
        <v>448</v>
      </c>
      <c r="C47" s="258">
        <v>8959</v>
      </c>
      <c r="D47" s="259">
        <v>5753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v>12</v>
      </c>
      <c r="D48" s="242">
        <v>11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8" t="s">
        <v>968</v>
      </c>
      <c r="G50" s="150"/>
      <c r="H50" s="150"/>
    </row>
    <row r="51" spans="1:13">
      <c r="A51" s="632" t="s">
        <v>974</v>
      </c>
      <c r="B51" s="632"/>
      <c r="C51" s="632"/>
      <c r="D51" s="632"/>
      <c r="G51" s="150"/>
      <c r="H51" s="150"/>
    </row>
    <row r="52" spans="1:13">
      <c r="A52" s="619"/>
      <c r="B52" s="619"/>
      <c r="C52" s="619"/>
      <c r="D52" s="619"/>
      <c r="G52" s="150"/>
      <c r="H52" s="150"/>
    </row>
    <row r="53" spans="1:13">
      <c r="A53" s="619"/>
      <c r="B53" s="619"/>
      <c r="C53" s="619"/>
      <c r="D53" s="619"/>
      <c r="G53" s="150"/>
      <c r="H53" s="150"/>
    </row>
    <row r="54" spans="1:13" s="37" customFormat="1">
      <c r="A54" s="620" t="s">
        <v>977</v>
      </c>
      <c r="B54" s="628">
        <f>pdeReportingDate</f>
        <v>43551</v>
      </c>
      <c r="C54" s="628"/>
      <c r="D54" s="628"/>
      <c r="E54" s="628"/>
      <c r="F54" s="623"/>
      <c r="G54" s="623"/>
      <c r="H54" s="623"/>
      <c r="M54" s="83"/>
    </row>
    <row r="55" spans="1:13" s="37" customFormat="1">
      <c r="A55" s="620"/>
      <c r="B55" s="628"/>
      <c r="C55" s="628"/>
      <c r="D55" s="628"/>
      <c r="E55" s="628"/>
      <c r="F55" s="46"/>
      <c r="G55" s="46"/>
      <c r="H55" s="46"/>
      <c r="M55" s="83"/>
    </row>
    <row r="56" spans="1:13" s="37" customFormat="1">
      <c r="A56" s="621" t="s">
        <v>8</v>
      </c>
      <c r="B56" s="629" t="str">
        <f>authorName</f>
        <v>ЙОРДАНКА ПЕТКОВА</v>
      </c>
      <c r="C56" s="629"/>
      <c r="D56" s="629"/>
      <c r="E56" s="629"/>
      <c r="F56" s="68"/>
      <c r="G56" s="68"/>
      <c r="H56" s="68"/>
    </row>
    <row r="57" spans="1:13" s="37" customFormat="1">
      <c r="A57" s="621"/>
      <c r="B57" s="629"/>
      <c r="C57" s="629"/>
      <c r="D57" s="629"/>
      <c r="E57" s="629"/>
      <c r="F57" s="68"/>
      <c r="G57" s="68"/>
      <c r="H57" s="68"/>
    </row>
    <row r="58" spans="1:13" s="37" customFormat="1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13" s="28" customFormat="1">
      <c r="A59" s="622"/>
      <c r="B59" s="627" t="s">
        <v>990</v>
      </c>
      <c r="C59" s="627"/>
      <c r="D59" s="627"/>
      <c r="E59" s="627"/>
      <c r="F59" s="516"/>
      <c r="G59" s="40"/>
      <c r="H59" s="37"/>
    </row>
    <row r="60" spans="1:13">
      <c r="A60" s="622"/>
      <c r="B60" s="627" t="s">
        <v>979</v>
      </c>
      <c r="C60" s="627"/>
      <c r="D60" s="627"/>
      <c r="E60" s="627"/>
      <c r="F60" s="516"/>
      <c r="G60" s="40"/>
      <c r="H60" s="37"/>
    </row>
    <row r="61" spans="1:13">
      <c r="A61" s="622"/>
      <c r="B61" s="627" t="s">
        <v>979</v>
      </c>
      <c r="C61" s="627"/>
      <c r="D61" s="627"/>
      <c r="E61" s="627"/>
      <c r="F61" s="516"/>
      <c r="G61" s="40"/>
      <c r="H61" s="37"/>
    </row>
    <row r="62" spans="1:13">
      <c r="A62" s="622"/>
      <c r="B62" s="627" t="s">
        <v>979</v>
      </c>
      <c r="C62" s="627"/>
      <c r="D62" s="627"/>
      <c r="E62" s="627"/>
      <c r="F62" s="516"/>
      <c r="G62" s="40"/>
      <c r="H62" s="37"/>
    </row>
    <row r="63" spans="1:13">
      <c r="A63" s="622"/>
      <c r="B63" s="627"/>
      <c r="C63" s="627"/>
      <c r="D63" s="627"/>
      <c r="E63" s="627"/>
      <c r="F63" s="516"/>
      <c r="G63" s="40"/>
      <c r="H63" s="37"/>
    </row>
    <row r="64" spans="1:13">
      <c r="A64" s="622"/>
      <c r="B64" s="627"/>
      <c r="C64" s="627"/>
      <c r="D64" s="627"/>
      <c r="E64" s="627"/>
      <c r="F64" s="516"/>
      <c r="G64" s="40"/>
      <c r="H64" s="37"/>
    </row>
    <row r="65" spans="1:8">
      <c r="A65" s="622"/>
      <c r="B65" s="627"/>
      <c r="C65" s="627"/>
      <c r="D65" s="627"/>
      <c r="E65" s="627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22" zoomScale="80" zoomScaleNormal="100" zoomScaleSheetLayoutView="80" workbookViewId="0">
      <selection activeCell="I31" sqref="I31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31.12.2018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7" t="s">
        <v>453</v>
      </c>
      <c r="B8" s="640" t="s">
        <v>454</v>
      </c>
      <c r="C8" s="633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3" t="s">
        <v>460</v>
      </c>
      <c r="L8" s="633" t="s">
        <v>461</v>
      </c>
      <c r="M8" s="476"/>
      <c r="N8" s="477"/>
    </row>
    <row r="9" spans="1:14" s="478" customFormat="1" ht="31.5">
      <c r="A9" s="638"/>
      <c r="B9" s="641"/>
      <c r="C9" s="634"/>
      <c r="D9" s="636" t="s">
        <v>826</v>
      </c>
      <c r="E9" s="636" t="s">
        <v>456</v>
      </c>
      <c r="F9" s="480" t="s">
        <v>457</v>
      </c>
      <c r="G9" s="480"/>
      <c r="H9" s="480"/>
      <c r="I9" s="643" t="s">
        <v>458</v>
      </c>
      <c r="J9" s="643" t="s">
        <v>459</v>
      </c>
      <c r="K9" s="634"/>
      <c r="L9" s="634"/>
      <c r="M9" s="481" t="s">
        <v>825</v>
      </c>
      <c r="N9" s="477"/>
    </row>
    <row r="10" spans="1:14" s="478" customFormat="1" ht="31.5">
      <c r="A10" s="639"/>
      <c r="B10" s="642"/>
      <c r="C10" s="635"/>
      <c r="D10" s="636"/>
      <c r="E10" s="636"/>
      <c r="F10" s="479" t="s">
        <v>462</v>
      </c>
      <c r="G10" s="479" t="s">
        <v>463</v>
      </c>
      <c r="H10" s="479" t="s">
        <v>464</v>
      </c>
      <c r="I10" s="635"/>
      <c r="J10" s="635"/>
      <c r="K10" s="635"/>
      <c r="L10" s="635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100964</v>
      </c>
      <c r="D13" s="525">
        <f>'1-Баланс'!H20</f>
        <v>0</v>
      </c>
      <c r="E13" s="525">
        <f>'1-Баланс'!H21</f>
        <v>27928</v>
      </c>
      <c r="F13" s="525">
        <f>'1-Баланс'!H23</f>
        <v>51666</v>
      </c>
      <c r="G13" s="525">
        <f>'1-Баланс'!H24</f>
        <v>0</v>
      </c>
      <c r="H13" s="526">
        <f>+'1-Баланс'!H25</f>
        <v>251089</v>
      </c>
      <c r="I13" s="525">
        <f>'1-Баланс'!H29+'1-Баланс'!H32</f>
        <v>45831</v>
      </c>
      <c r="J13" s="525">
        <f>'1-Баланс'!H30+'1-Баланс'!H33</f>
        <v>0</v>
      </c>
      <c r="K13" s="526"/>
      <c r="L13" s="525">
        <f>SUM(C13:K13)</f>
        <v>477478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-1309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-1309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>
        <v>-1309</v>
      </c>
      <c r="J15" s="277"/>
      <c r="K15" s="277"/>
      <c r="L15" s="525">
        <f t="shared" si="1"/>
        <v>-1309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100964</v>
      </c>
      <c r="D17" s="525">
        <f t="shared" ref="D17:M17" si="2">D13+D14</f>
        <v>0</v>
      </c>
      <c r="E17" s="525">
        <f t="shared" si="2"/>
        <v>27928</v>
      </c>
      <c r="F17" s="525">
        <f t="shared" si="2"/>
        <v>51666</v>
      </c>
      <c r="G17" s="525">
        <f t="shared" si="2"/>
        <v>0</v>
      </c>
      <c r="H17" s="525">
        <f t="shared" si="2"/>
        <v>251089</v>
      </c>
      <c r="I17" s="525">
        <f t="shared" si="2"/>
        <v>44522</v>
      </c>
      <c r="J17" s="525">
        <f t="shared" si="2"/>
        <v>0</v>
      </c>
      <c r="K17" s="525">
        <f t="shared" si="2"/>
        <v>0</v>
      </c>
      <c r="L17" s="525">
        <f t="shared" si="1"/>
        <v>476169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33298</v>
      </c>
      <c r="J18" s="525">
        <f>+'1-Баланс'!G33</f>
        <v>0</v>
      </c>
      <c r="K18" s="526"/>
      <c r="L18" s="525">
        <f t="shared" si="1"/>
        <v>33298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4301</v>
      </c>
      <c r="G19" s="142">
        <f t="shared" si="3"/>
        <v>0</v>
      </c>
      <c r="H19" s="142">
        <f t="shared" si="3"/>
        <v>24888</v>
      </c>
      <c r="I19" s="142">
        <f t="shared" si="3"/>
        <v>-49295</v>
      </c>
      <c r="J19" s="142">
        <f>J20+J21</f>
        <v>0</v>
      </c>
      <c r="K19" s="142">
        <f t="shared" si="3"/>
        <v>0</v>
      </c>
      <c r="L19" s="525">
        <f t="shared" si="1"/>
        <v>-20106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>
        <v>-20106</v>
      </c>
      <c r="J20" s="277"/>
      <c r="K20" s="277"/>
      <c r="L20" s="525">
        <f>SUM(C20:K20)</f>
        <v>-20106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>
        <v>4301</v>
      </c>
      <c r="G21" s="277"/>
      <c r="H21" s="277">
        <v>24888</v>
      </c>
      <c r="I21" s="277">
        <v>-29189</v>
      </c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307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307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>
        <v>307</v>
      </c>
      <c r="F24" s="277"/>
      <c r="G24" s="277"/>
      <c r="H24" s="277"/>
      <c r="I24" s="277"/>
      <c r="J24" s="277"/>
      <c r="K24" s="277"/>
      <c r="L24" s="525">
        <f t="shared" si="1"/>
        <v>307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-99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-99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99</v>
      </c>
      <c r="F28" s="277"/>
      <c r="G28" s="277"/>
      <c r="H28" s="277"/>
      <c r="I28" s="277"/>
      <c r="J28" s="277"/>
      <c r="K28" s="277"/>
      <c r="L28" s="525">
        <f t="shared" si="1"/>
        <v>99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497</v>
      </c>
      <c r="D30" s="277"/>
      <c r="E30" s="277">
        <v>-2770</v>
      </c>
      <c r="F30" s="277"/>
      <c r="G30" s="277"/>
      <c r="H30" s="277"/>
      <c r="I30" s="277">
        <v>1923</v>
      </c>
      <c r="J30" s="277"/>
      <c r="K30" s="277"/>
      <c r="L30" s="525">
        <f t="shared" si="1"/>
        <v>-350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101461</v>
      </c>
      <c r="D31" s="525">
        <f t="shared" ref="D31:M31" si="6">D19+D22+D23+D26+D30+D29+D17+D18</f>
        <v>0</v>
      </c>
      <c r="E31" s="525">
        <f t="shared" si="6"/>
        <v>25366</v>
      </c>
      <c r="F31" s="525">
        <f t="shared" si="6"/>
        <v>55967</v>
      </c>
      <c r="G31" s="525">
        <f t="shared" si="6"/>
        <v>0</v>
      </c>
      <c r="H31" s="525">
        <f t="shared" si="6"/>
        <v>275977</v>
      </c>
      <c r="I31" s="525">
        <f t="shared" si="6"/>
        <v>30448</v>
      </c>
      <c r="J31" s="525">
        <f t="shared" si="6"/>
        <v>0</v>
      </c>
      <c r="K31" s="525">
        <f t="shared" si="6"/>
        <v>0</v>
      </c>
      <c r="L31" s="525">
        <f t="shared" si="1"/>
        <v>489219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101461</v>
      </c>
      <c r="D34" s="528">
        <f t="shared" si="7"/>
        <v>0</v>
      </c>
      <c r="E34" s="528">
        <f t="shared" si="7"/>
        <v>25366</v>
      </c>
      <c r="F34" s="528">
        <f t="shared" si="7"/>
        <v>55967</v>
      </c>
      <c r="G34" s="528">
        <f t="shared" si="7"/>
        <v>0</v>
      </c>
      <c r="H34" s="528">
        <f t="shared" si="7"/>
        <v>275977</v>
      </c>
      <c r="I34" s="528">
        <f t="shared" si="7"/>
        <v>30448</v>
      </c>
      <c r="J34" s="528">
        <f t="shared" si="7"/>
        <v>0</v>
      </c>
      <c r="K34" s="528">
        <f t="shared" si="7"/>
        <v>0</v>
      </c>
      <c r="L34" s="528">
        <f t="shared" si="1"/>
        <v>489219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0" t="s">
        <v>977</v>
      </c>
      <c r="B38" s="628">
        <f>pdeReportingDate</f>
        <v>43551</v>
      </c>
      <c r="C38" s="628"/>
      <c r="D38" s="628"/>
      <c r="E38" s="628"/>
      <c r="F38" s="628"/>
      <c r="G38" s="628"/>
      <c r="H38" s="628"/>
    </row>
    <row r="39" spans="1:13">
      <c r="A39" s="620"/>
      <c r="B39" s="46"/>
      <c r="C39" s="46"/>
      <c r="D39" s="46"/>
      <c r="E39" s="46"/>
      <c r="F39" s="46"/>
      <c r="G39" s="46"/>
      <c r="H39" s="46"/>
    </row>
    <row r="40" spans="1:13">
      <c r="A40" s="621" t="s">
        <v>8</v>
      </c>
      <c r="B40" s="629" t="str">
        <f>authorName</f>
        <v>ЙОРДАНКА ПЕТКОВА</v>
      </c>
      <c r="C40" s="629"/>
      <c r="D40" s="629"/>
      <c r="E40" s="629"/>
      <c r="F40" s="629"/>
      <c r="G40" s="629"/>
      <c r="H40" s="629"/>
    </row>
    <row r="41" spans="1:13">
      <c r="A41" s="621"/>
      <c r="B41" s="68"/>
      <c r="C41" s="68"/>
      <c r="D41" s="68"/>
      <c r="E41" s="68"/>
      <c r="F41" s="68"/>
      <c r="G41" s="68"/>
      <c r="H41" s="68"/>
    </row>
    <row r="42" spans="1:13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13">
      <c r="A43" s="622"/>
      <c r="B43" s="627" t="str">
        <f>+'1-Баланс'!B103:E103</f>
        <v>ОГНЯН ДОНЕВ</v>
      </c>
      <c r="C43" s="627"/>
      <c r="D43" s="627"/>
      <c r="E43" s="627"/>
      <c r="F43" s="516"/>
      <c r="G43" s="40"/>
      <c r="H43" s="37"/>
    </row>
    <row r="44" spans="1:13">
      <c r="A44" s="622"/>
      <c r="B44" s="627" t="s">
        <v>979</v>
      </c>
      <c r="C44" s="627"/>
      <c r="D44" s="627"/>
      <c r="E44" s="627"/>
      <c r="F44" s="516"/>
      <c r="G44" s="40"/>
      <c r="H44" s="37"/>
    </row>
    <row r="45" spans="1:13">
      <c r="A45" s="622"/>
      <c r="B45" s="627" t="s">
        <v>979</v>
      </c>
      <c r="C45" s="627"/>
      <c r="D45" s="627"/>
      <c r="E45" s="627"/>
      <c r="F45" s="516"/>
      <c r="G45" s="40"/>
      <c r="H45" s="37"/>
    </row>
    <row r="46" spans="1:13">
      <c r="A46" s="622"/>
      <c r="B46" s="627" t="s">
        <v>979</v>
      </c>
      <c r="C46" s="627"/>
      <c r="D46" s="627"/>
      <c r="E46" s="627"/>
      <c r="F46" s="516"/>
      <c r="G46" s="40"/>
      <c r="H46" s="37"/>
    </row>
    <row r="47" spans="1:13">
      <c r="A47" s="622"/>
      <c r="B47" s="627"/>
      <c r="C47" s="627"/>
      <c r="D47" s="627"/>
      <c r="E47" s="627"/>
      <c r="F47" s="516"/>
      <c r="G47" s="40"/>
      <c r="H47" s="37"/>
    </row>
    <row r="48" spans="1:13">
      <c r="A48" s="622"/>
      <c r="B48" s="627"/>
      <c r="C48" s="627"/>
      <c r="D48" s="627"/>
      <c r="E48" s="627"/>
      <c r="F48" s="516"/>
      <c r="G48" s="40"/>
      <c r="H48" s="37"/>
    </row>
    <row r="49" spans="1:8">
      <c r="A49" s="622"/>
      <c r="B49" s="627"/>
      <c r="C49" s="627"/>
      <c r="D49" s="627"/>
      <c r="E49" s="627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49" zoomScale="70" zoomScaleNormal="70" zoomScaleSheetLayoutView="70" workbookViewId="0">
      <selection activeCell="D74" sqref="D74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31.12.2018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7" t="s">
        <v>1007</v>
      </c>
      <c r="B12" s="608"/>
      <c r="C12" s="79">
        <v>30792</v>
      </c>
      <c r="D12" s="79">
        <v>72.959999999999994</v>
      </c>
      <c r="E12" s="79">
        <f>+C12</f>
        <v>30792</v>
      </c>
      <c r="F12" s="419">
        <f>C12-E12</f>
        <v>0</v>
      </c>
    </row>
    <row r="13" spans="1:6">
      <c r="A13" s="607" t="s">
        <v>1010</v>
      </c>
      <c r="B13" s="608"/>
      <c r="C13" s="79">
        <v>8384</v>
      </c>
      <c r="D13" s="79">
        <v>97.15</v>
      </c>
      <c r="E13" s="79">
        <v>0</v>
      </c>
      <c r="F13" s="419">
        <f t="shared" ref="F13:F26" si="0">C13-E13</f>
        <v>8384</v>
      </c>
    </row>
    <row r="14" spans="1:6">
      <c r="A14" s="607" t="s">
        <v>1011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>
      <c r="A15" s="607" t="s">
        <v>1012</v>
      </c>
      <c r="B15" s="608"/>
      <c r="C15" s="79">
        <v>4229</v>
      </c>
      <c r="D15" s="79">
        <v>93.56</v>
      </c>
      <c r="E15" s="79">
        <f>+C15</f>
        <v>4229</v>
      </c>
      <c r="F15" s="419">
        <f t="shared" si="0"/>
        <v>0</v>
      </c>
    </row>
    <row r="16" spans="1:6">
      <c r="A16" s="607" t="s">
        <v>1013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>
      <c r="A17" s="607" t="s">
        <v>1014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>
      <c r="A18" s="607" t="s">
        <v>1015</v>
      </c>
      <c r="B18" s="608"/>
      <c r="C18" s="79">
        <v>491</v>
      </c>
      <c r="D18" s="79">
        <v>40.380000000000003</v>
      </c>
      <c r="E18" s="79">
        <f>+C18</f>
        <v>491</v>
      </c>
      <c r="F18" s="419">
        <f t="shared" si="0"/>
        <v>0</v>
      </c>
    </row>
    <row r="19" spans="1:6">
      <c r="A19" s="607" t="s">
        <v>1016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>
      <c r="A20" s="607" t="s">
        <v>1017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>
      <c r="A21" s="607"/>
      <c r="B21" s="608"/>
      <c r="C21" s="79"/>
      <c r="D21" s="79"/>
      <c r="E21" s="79"/>
      <c r="F21" s="419">
        <f t="shared" si="0"/>
        <v>0</v>
      </c>
    </row>
    <row r="22" spans="1:6">
      <c r="A22" s="607"/>
      <c r="B22" s="608"/>
      <c r="C22" s="79"/>
      <c r="D22" s="79"/>
      <c r="E22" s="79"/>
      <c r="F22" s="419">
        <f t="shared" si="0"/>
        <v>0</v>
      </c>
    </row>
    <row r="23" spans="1:6">
      <c r="A23" s="607"/>
      <c r="B23" s="608"/>
      <c r="C23" s="79"/>
      <c r="D23" s="79"/>
      <c r="E23" s="79"/>
      <c r="F23" s="419">
        <f t="shared" si="0"/>
        <v>0</v>
      </c>
    </row>
    <row r="24" spans="1:6">
      <c r="A24" s="607"/>
      <c r="B24" s="608"/>
      <c r="C24" s="79"/>
      <c r="D24" s="79"/>
      <c r="E24" s="79"/>
      <c r="F24" s="419">
        <f t="shared" si="0"/>
        <v>0</v>
      </c>
    </row>
    <row r="25" spans="1:6">
      <c r="A25" s="607"/>
      <c r="B25" s="608"/>
      <c r="C25" s="79"/>
      <c r="D25" s="79"/>
      <c r="E25" s="79"/>
      <c r="F25" s="419">
        <f t="shared" si="0"/>
        <v>0</v>
      </c>
    </row>
    <row r="26" spans="1:6">
      <c r="A26" s="607"/>
      <c r="B26" s="608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55761</v>
      </c>
      <c r="D27" s="421"/>
      <c r="E27" s="421">
        <f>SUM(E12:E26)</f>
        <v>35512</v>
      </c>
      <c r="F27" s="421">
        <f>SUM(F12:F26)</f>
        <v>20249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7">
        <v>1</v>
      </c>
      <c r="B29" s="608"/>
      <c r="C29" s="79"/>
      <c r="D29" s="79"/>
      <c r="E29" s="79"/>
      <c r="F29" s="419">
        <f>C29-E29</f>
        <v>0</v>
      </c>
    </row>
    <row r="30" spans="1:6">
      <c r="A30" s="607">
        <v>2</v>
      </c>
      <c r="B30" s="608"/>
      <c r="C30" s="79"/>
      <c r="D30" s="79"/>
      <c r="E30" s="79"/>
      <c r="F30" s="419">
        <f t="shared" ref="F30:F43" si="1">C30-E30</f>
        <v>0</v>
      </c>
    </row>
    <row r="31" spans="1:6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7" t="s">
        <v>1004</v>
      </c>
      <c r="B46" s="608"/>
      <c r="C46" s="79">
        <v>7962</v>
      </c>
      <c r="D46" s="79">
        <v>33.24</v>
      </c>
      <c r="E46" s="79">
        <f>+C46</f>
        <v>7962</v>
      </c>
      <c r="F46" s="419">
        <f>C46-E46</f>
        <v>0</v>
      </c>
    </row>
    <row r="47" spans="1:6">
      <c r="A47" s="607">
        <v>2</v>
      </c>
      <c r="B47" s="608"/>
      <c r="C47" s="79"/>
      <c r="D47" s="79"/>
      <c r="E47" s="79"/>
      <c r="F47" s="419">
        <f t="shared" ref="F47:F60" si="2">C47-E47</f>
        <v>0</v>
      </c>
    </row>
    <row r="48" spans="1:6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>
      <c r="A61" s="454" t="s">
        <v>797</v>
      </c>
      <c r="B61" s="455" t="s">
        <v>798</v>
      </c>
      <c r="C61" s="421">
        <f>SUM(C46:C60)</f>
        <v>7962</v>
      </c>
      <c r="D61" s="421"/>
      <c r="E61" s="421">
        <f>SUM(E46:E60)</f>
        <v>7962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7" t="s">
        <v>1008</v>
      </c>
      <c r="B63" s="608"/>
      <c r="C63" s="79">
        <v>3616</v>
      </c>
      <c r="D63" s="79">
        <v>10.89</v>
      </c>
      <c r="E63" s="79">
        <f t="shared" ref="E63" si="3">+C63</f>
        <v>3616</v>
      </c>
      <c r="F63" s="419">
        <f t="shared" ref="F63:F72" si="4">C63-E63</f>
        <v>0</v>
      </c>
    </row>
    <row r="64" spans="1:6">
      <c r="A64" s="607" t="s">
        <v>1018</v>
      </c>
      <c r="B64" s="608"/>
      <c r="C64" s="79">
        <v>59</v>
      </c>
      <c r="D64" s="79">
        <v>0.17</v>
      </c>
      <c r="E64" s="79">
        <f>+C64</f>
        <v>59</v>
      </c>
      <c r="F64" s="419">
        <f t="shared" si="4"/>
        <v>0</v>
      </c>
    </row>
    <row r="65" spans="1:6">
      <c r="A65" s="607" t="s">
        <v>1019</v>
      </c>
      <c r="B65" s="608"/>
      <c r="C65" s="79">
        <v>182</v>
      </c>
      <c r="D65" s="79">
        <v>10.94</v>
      </c>
      <c r="E65" s="79">
        <f>+C65</f>
        <v>182</v>
      </c>
      <c r="F65" s="419">
        <f t="shared" si="4"/>
        <v>0</v>
      </c>
    </row>
    <row r="66" spans="1:6">
      <c r="A66" s="607" t="s">
        <v>1020</v>
      </c>
      <c r="B66" s="608"/>
      <c r="C66" s="79">
        <v>2078</v>
      </c>
      <c r="D66" s="79">
        <v>1.55</v>
      </c>
      <c r="E66" s="79">
        <f>+C66</f>
        <v>2078</v>
      </c>
      <c r="F66" s="419">
        <f t="shared" si="4"/>
        <v>0</v>
      </c>
    </row>
    <row r="67" spans="1:6">
      <c r="A67" s="607" t="s">
        <v>1021</v>
      </c>
      <c r="B67" s="608"/>
      <c r="C67" s="79">
        <v>31</v>
      </c>
      <c r="D67" s="79">
        <v>7.0000000000000007E-2</v>
      </c>
      <c r="E67" s="79">
        <f>+C67</f>
        <v>31</v>
      </c>
      <c r="F67" s="419">
        <f t="shared" si="4"/>
        <v>0</v>
      </c>
    </row>
    <row r="68" spans="1:6">
      <c r="A68" s="607" t="s">
        <v>1022</v>
      </c>
      <c r="B68" s="608"/>
      <c r="C68" s="79">
        <v>4</v>
      </c>
      <c r="D68" s="79">
        <v>0.02</v>
      </c>
      <c r="E68" s="79">
        <f>+C68</f>
        <v>4</v>
      </c>
      <c r="F68" s="419">
        <f t="shared" si="4"/>
        <v>0</v>
      </c>
    </row>
    <row r="69" spans="1:6">
      <c r="A69" s="607" t="s">
        <v>1023</v>
      </c>
      <c r="B69" s="608"/>
      <c r="C69" s="79">
        <v>1</v>
      </c>
      <c r="D69" s="79">
        <v>4.0000000000000002E-4</v>
      </c>
      <c r="E69" s="79">
        <f t="shared" ref="E69" si="5">+C69</f>
        <v>1</v>
      </c>
      <c r="F69" s="419">
        <f t="shared" si="4"/>
        <v>0</v>
      </c>
    </row>
    <row r="70" spans="1:6">
      <c r="A70" s="607" t="s">
        <v>1024</v>
      </c>
      <c r="B70" s="608"/>
      <c r="C70" s="79">
        <v>7</v>
      </c>
      <c r="D70" s="79">
        <v>0.74</v>
      </c>
      <c r="E70" s="79">
        <v>0</v>
      </c>
      <c r="F70" s="419">
        <f t="shared" si="4"/>
        <v>7</v>
      </c>
    </row>
    <row r="71" spans="1:6">
      <c r="A71" s="607" t="s">
        <v>1025</v>
      </c>
      <c r="B71" s="608"/>
      <c r="C71" s="79">
        <v>3</v>
      </c>
      <c r="D71" s="79">
        <v>1E-3</v>
      </c>
      <c r="E71" s="79">
        <v>0</v>
      </c>
      <c r="F71" s="419">
        <f t="shared" si="4"/>
        <v>3</v>
      </c>
    </row>
    <row r="72" spans="1:6">
      <c r="A72" s="607" t="s">
        <v>1026</v>
      </c>
      <c r="B72" s="608"/>
      <c r="C72" s="79">
        <v>1</v>
      </c>
      <c r="D72" s="79">
        <v>0.05</v>
      </c>
      <c r="E72" s="79">
        <v>0</v>
      </c>
      <c r="F72" s="419">
        <f t="shared" si="4"/>
        <v>1</v>
      </c>
    </row>
    <row r="73" spans="1:6">
      <c r="A73" s="607" t="s">
        <v>1027</v>
      </c>
      <c r="B73" s="608"/>
      <c r="C73" s="79">
        <v>50</v>
      </c>
      <c r="D73" s="79">
        <v>1.36</v>
      </c>
      <c r="E73" s="79">
        <v>0</v>
      </c>
      <c r="F73" s="419">
        <f t="shared" ref="F73:F77" si="6">C73-E73</f>
        <v>50</v>
      </c>
    </row>
    <row r="74" spans="1:6">
      <c r="A74" s="607"/>
      <c r="B74" s="608"/>
      <c r="C74" s="79"/>
      <c r="D74" s="79"/>
      <c r="E74" s="79"/>
      <c r="F74" s="419">
        <f t="shared" si="6"/>
        <v>0</v>
      </c>
    </row>
    <row r="75" spans="1:6">
      <c r="A75" s="607"/>
      <c r="B75" s="608"/>
      <c r="C75" s="79"/>
      <c r="D75" s="79"/>
      <c r="E75" s="79"/>
      <c r="F75" s="419">
        <f t="shared" si="6"/>
        <v>0</v>
      </c>
    </row>
    <row r="76" spans="1:6">
      <c r="A76" s="607"/>
      <c r="B76" s="608"/>
      <c r="C76" s="79"/>
      <c r="D76" s="79"/>
      <c r="E76" s="79"/>
      <c r="F76" s="419">
        <f t="shared" si="6"/>
        <v>0</v>
      </c>
    </row>
    <row r="77" spans="1:6">
      <c r="A77" s="607"/>
      <c r="B77" s="608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6032</v>
      </c>
      <c r="D78" s="421"/>
      <c r="E78" s="421">
        <f>SUM(E63:E77)</f>
        <v>5971</v>
      </c>
      <c r="F78" s="421">
        <f>SUM(F63:F77)</f>
        <v>61</v>
      </c>
    </row>
    <row r="79" spans="1:6">
      <c r="A79" s="458" t="s">
        <v>801</v>
      </c>
      <c r="B79" s="455" t="s">
        <v>802</v>
      </c>
      <c r="C79" s="421">
        <f>C78+C61+C44+C27</f>
        <v>69755</v>
      </c>
      <c r="D79" s="421"/>
      <c r="E79" s="421">
        <f>E78+E61+E44+E27</f>
        <v>49445</v>
      </c>
      <c r="F79" s="421">
        <f>F78+F61+F44+F27</f>
        <v>20310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7" t="s">
        <v>999</v>
      </c>
      <c r="B82" s="608"/>
      <c r="C82" s="79">
        <v>22270</v>
      </c>
      <c r="D82" s="79">
        <v>66.13</v>
      </c>
      <c r="E82" s="79"/>
      <c r="F82" s="419">
        <f>C82-E82</f>
        <v>22270</v>
      </c>
    </row>
    <row r="83" spans="1:6">
      <c r="A83" s="607" t="s">
        <v>1000</v>
      </c>
      <c r="B83" s="608"/>
      <c r="C83" s="79">
        <v>9669</v>
      </c>
      <c r="D83" s="79">
        <v>100</v>
      </c>
      <c r="E83" s="79"/>
      <c r="F83" s="419">
        <f t="shared" ref="F83:F96" si="7">C83-E83</f>
        <v>9669</v>
      </c>
    </row>
    <row r="84" spans="1:6">
      <c r="A84" s="607" t="s">
        <v>1001</v>
      </c>
      <c r="B84" s="608"/>
      <c r="C84" s="79">
        <v>1127</v>
      </c>
      <c r="D84" s="79">
        <v>99.56</v>
      </c>
      <c r="E84" s="79"/>
      <c r="F84" s="419">
        <f t="shared" si="7"/>
        <v>1127</v>
      </c>
    </row>
    <row r="85" spans="1:6">
      <c r="A85" s="607" t="s">
        <v>1002</v>
      </c>
      <c r="B85" s="608"/>
      <c r="C85" s="79">
        <v>502</v>
      </c>
      <c r="D85" s="79">
        <v>100</v>
      </c>
      <c r="E85" s="79"/>
      <c r="F85" s="419">
        <f t="shared" si="7"/>
        <v>502</v>
      </c>
    </row>
    <row r="86" spans="1:6">
      <c r="A86" s="607" t="s">
        <v>1003</v>
      </c>
      <c r="B86" s="608"/>
      <c r="C86" s="79">
        <v>323</v>
      </c>
      <c r="D86" s="79">
        <v>100</v>
      </c>
      <c r="E86" s="79"/>
      <c r="F86" s="419">
        <f t="shared" si="7"/>
        <v>323</v>
      </c>
    </row>
    <row r="87" spans="1:6">
      <c r="A87" s="607" t="s">
        <v>1006</v>
      </c>
      <c r="B87" s="608"/>
      <c r="C87" s="79">
        <v>293</v>
      </c>
      <c r="D87" s="79">
        <v>51</v>
      </c>
      <c r="E87" s="79"/>
      <c r="F87" s="419">
        <f t="shared" si="7"/>
        <v>293</v>
      </c>
    </row>
    <row r="88" spans="1:6">
      <c r="A88" s="607">
        <v>7</v>
      </c>
      <c r="B88" s="608"/>
      <c r="C88" s="79"/>
      <c r="D88" s="79"/>
      <c r="E88" s="79"/>
      <c r="F88" s="419">
        <f t="shared" si="7"/>
        <v>0</v>
      </c>
    </row>
    <row r="89" spans="1:6">
      <c r="A89" s="607">
        <v>8</v>
      </c>
      <c r="B89" s="608"/>
      <c r="C89" s="79"/>
      <c r="D89" s="79"/>
      <c r="E89" s="79"/>
      <c r="F89" s="419">
        <f t="shared" si="7"/>
        <v>0</v>
      </c>
    </row>
    <row r="90" spans="1:6">
      <c r="A90" s="607">
        <v>9</v>
      </c>
      <c r="B90" s="608"/>
      <c r="C90" s="79"/>
      <c r="D90" s="79"/>
      <c r="E90" s="79"/>
      <c r="F90" s="419">
        <f t="shared" si="7"/>
        <v>0</v>
      </c>
    </row>
    <row r="91" spans="1:6">
      <c r="A91" s="607">
        <v>10</v>
      </c>
      <c r="B91" s="608"/>
      <c r="C91" s="79"/>
      <c r="D91" s="79"/>
      <c r="E91" s="79"/>
      <c r="F91" s="419">
        <f t="shared" si="7"/>
        <v>0</v>
      </c>
    </row>
    <row r="92" spans="1:6">
      <c r="A92" s="607">
        <v>11</v>
      </c>
      <c r="B92" s="608"/>
      <c r="C92" s="79"/>
      <c r="D92" s="79"/>
      <c r="E92" s="79"/>
      <c r="F92" s="419">
        <f t="shared" si="7"/>
        <v>0</v>
      </c>
    </row>
    <row r="93" spans="1:6">
      <c r="A93" s="607">
        <v>12</v>
      </c>
      <c r="B93" s="608"/>
      <c r="C93" s="79"/>
      <c r="D93" s="79"/>
      <c r="E93" s="79"/>
      <c r="F93" s="419">
        <f t="shared" si="7"/>
        <v>0</v>
      </c>
    </row>
    <row r="94" spans="1:6">
      <c r="A94" s="607">
        <v>13</v>
      </c>
      <c r="B94" s="608"/>
      <c r="C94" s="79"/>
      <c r="D94" s="79"/>
      <c r="E94" s="79"/>
      <c r="F94" s="419">
        <f t="shared" si="7"/>
        <v>0</v>
      </c>
    </row>
    <row r="95" spans="1:6">
      <c r="A95" s="607">
        <v>14</v>
      </c>
      <c r="B95" s="608"/>
      <c r="C95" s="79"/>
      <c r="D95" s="79"/>
      <c r="E95" s="79"/>
      <c r="F95" s="419">
        <f t="shared" si="7"/>
        <v>0</v>
      </c>
    </row>
    <row r="96" spans="1:6">
      <c r="A96" s="607">
        <v>15</v>
      </c>
      <c r="B96" s="608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34184</v>
      </c>
      <c r="D97" s="421"/>
      <c r="E97" s="421">
        <f>SUM(E82:E96)</f>
        <v>0</v>
      </c>
      <c r="F97" s="421">
        <f>SUM(F82:F96)</f>
        <v>34184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7">
        <v>1</v>
      </c>
      <c r="B99" s="608"/>
      <c r="C99" s="79"/>
      <c r="D99" s="79"/>
      <c r="E99" s="79"/>
      <c r="F99" s="419">
        <f>C99-E99</f>
        <v>0</v>
      </c>
    </row>
    <row r="100" spans="1:6">
      <c r="A100" s="607">
        <v>2</v>
      </c>
      <c r="B100" s="608"/>
      <c r="C100" s="79"/>
      <c r="D100" s="79"/>
      <c r="E100" s="79"/>
      <c r="F100" s="419">
        <f t="shared" ref="F100:F113" si="8">C100-E100</f>
        <v>0</v>
      </c>
    </row>
    <row r="101" spans="1:6">
      <c r="A101" s="607">
        <v>3</v>
      </c>
      <c r="B101" s="608"/>
      <c r="C101" s="79"/>
      <c r="D101" s="79"/>
      <c r="E101" s="79"/>
      <c r="F101" s="419">
        <f t="shared" si="8"/>
        <v>0</v>
      </c>
    </row>
    <row r="102" spans="1:6">
      <c r="A102" s="607">
        <v>4</v>
      </c>
      <c r="B102" s="608"/>
      <c r="C102" s="79"/>
      <c r="D102" s="79"/>
      <c r="E102" s="79"/>
      <c r="F102" s="419">
        <f t="shared" si="8"/>
        <v>0</v>
      </c>
    </row>
    <row r="103" spans="1:6">
      <c r="A103" s="607">
        <v>5</v>
      </c>
      <c r="B103" s="608"/>
      <c r="C103" s="79"/>
      <c r="D103" s="79"/>
      <c r="E103" s="79"/>
      <c r="F103" s="419">
        <f t="shared" si="8"/>
        <v>0</v>
      </c>
    </row>
    <row r="104" spans="1:6">
      <c r="A104" s="607">
        <v>6</v>
      </c>
      <c r="B104" s="608"/>
      <c r="C104" s="79"/>
      <c r="D104" s="79"/>
      <c r="E104" s="79"/>
      <c r="F104" s="419">
        <f t="shared" si="8"/>
        <v>0</v>
      </c>
    </row>
    <row r="105" spans="1:6">
      <c r="A105" s="607">
        <v>7</v>
      </c>
      <c r="B105" s="608"/>
      <c r="C105" s="79"/>
      <c r="D105" s="79"/>
      <c r="E105" s="79"/>
      <c r="F105" s="419">
        <f t="shared" si="8"/>
        <v>0</v>
      </c>
    </row>
    <row r="106" spans="1:6">
      <c r="A106" s="607">
        <v>8</v>
      </c>
      <c r="B106" s="608"/>
      <c r="C106" s="79"/>
      <c r="D106" s="79"/>
      <c r="E106" s="79"/>
      <c r="F106" s="419">
        <f t="shared" si="8"/>
        <v>0</v>
      </c>
    </row>
    <row r="107" spans="1:6">
      <c r="A107" s="607">
        <v>9</v>
      </c>
      <c r="B107" s="608"/>
      <c r="C107" s="79"/>
      <c r="D107" s="79"/>
      <c r="E107" s="79"/>
      <c r="F107" s="419">
        <f t="shared" si="8"/>
        <v>0</v>
      </c>
    </row>
    <row r="108" spans="1:6">
      <c r="A108" s="607">
        <v>10</v>
      </c>
      <c r="B108" s="608"/>
      <c r="C108" s="79"/>
      <c r="D108" s="79"/>
      <c r="E108" s="79"/>
      <c r="F108" s="419">
        <f t="shared" si="8"/>
        <v>0</v>
      </c>
    </row>
    <row r="109" spans="1:6">
      <c r="A109" s="607">
        <v>11</v>
      </c>
      <c r="B109" s="608"/>
      <c r="C109" s="79"/>
      <c r="D109" s="79"/>
      <c r="E109" s="79"/>
      <c r="F109" s="419">
        <f t="shared" si="8"/>
        <v>0</v>
      </c>
    </row>
    <row r="110" spans="1:6">
      <c r="A110" s="607">
        <v>12</v>
      </c>
      <c r="B110" s="608"/>
      <c r="C110" s="79"/>
      <c r="D110" s="79"/>
      <c r="E110" s="79"/>
      <c r="F110" s="419">
        <f t="shared" si="8"/>
        <v>0</v>
      </c>
    </row>
    <row r="111" spans="1:6">
      <c r="A111" s="607">
        <v>13</v>
      </c>
      <c r="B111" s="608"/>
      <c r="C111" s="79"/>
      <c r="D111" s="79"/>
      <c r="E111" s="79"/>
      <c r="F111" s="419">
        <f t="shared" si="8"/>
        <v>0</v>
      </c>
    </row>
    <row r="112" spans="1:6">
      <c r="A112" s="607">
        <v>14</v>
      </c>
      <c r="B112" s="608"/>
      <c r="C112" s="79"/>
      <c r="D112" s="79"/>
      <c r="E112" s="79"/>
      <c r="F112" s="419">
        <f t="shared" si="8"/>
        <v>0</v>
      </c>
    </row>
    <row r="113" spans="1:6">
      <c r="A113" s="607">
        <v>15</v>
      </c>
      <c r="B113" s="608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>
      <c r="A117" s="607">
        <v>2</v>
      </c>
      <c r="B117" s="608"/>
      <c r="C117" s="79"/>
      <c r="D117" s="79"/>
      <c r="E117" s="79"/>
      <c r="F117" s="419">
        <f t="shared" ref="F117:F130" si="9">C117-E117</f>
        <v>0</v>
      </c>
    </row>
    <row r="118" spans="1:6">
      <c r="A118" s="607">
        <v>3</v>
      </c>
      <c r="B118" s="608"/>
      <c r="C118" s="79"/>
      <c r="D118" s="79"/>
      <c r="E118" s="79"/>
      <c r="F118" s="419">
        <f t="shared" si="9"/>
        <v>0</v>
      </c>
    </row>
    <row r="119" spans="1:6">
      <c r="A119" s="607">
        <v>4</v>
      </c>
      <c r="B119" s="608"/>
      <c r="C119" s="79"/>
      <c r="D119" s="79"/>
      <c r="E119" s="79"/>
      <c r="F119" s="419">
        <f t="shared" si="9"/>
        <v>0</v>
      </c>
    </row>
    <row r="120" spans="1:6">
      <c r="A120" s="607">
        <v>5</v>
      </c>
      <c r="B120" s="608"/>
      <c r="C120" s="79"/>
      <c r="D120" s="79"/>
      <c r="E120" s="79"/>
      <c r="F120" s="419">
        <f t="shared" si="9"/>
        <v>0</v>
      </c>
    </row>
    <row r="121" spans="1:6">
      <c r="A121" s="607">
        <v>6</v>
      </c>
      <c r="B121" s="608"/>
      <c r="C121" s="79"/>
      <c r="D121" s="79"/>
      <c r="E121" s="79"/>
      <c r="F121" s="419">
        <f t="shared" si="9"/>
        <v>0</v>
      </c>
    </row>
    <row r="122" spans="1:6">
      <c r="A122" s="607">
        <v>7</v>
      </c>
      <c r="B122" s="608"/>
      <c r="C122" s="79"/>
      <c r="D122" s="79"/>
      <c r="E122" s="79"/>
      <c r="F122" s="419">
        <f t="shared" si="9"/>
        <v>0</v>
      </c>
    </row>
    <row r="123" spans="1:6">
      <c r="A123" s="607">
        <v>8</v>
      </c>
      <c r="B123" s="608"/>
      <c r="C123" s="79"/>
      <c r="D123" s="79"/>
      <c r="E123" s="79"/>
      <c r="F123" s="419">
        <f t="shared" si="9"/>
        <v>0</v>
      </c>
    </row>
    <row r="124" spans="1:6">
      <c r="A124" s="607">
        <v>9</v>
      </c>
      <c r="B124" s="608"/>
      <c r="C124" s="79"/>
      <c r="D124" s="79"/>
      <c r="E124" s="79"/>
      <c r="F124" s="419">
        <f t="shared" si="9"/>
        <v>0</v>
      </c>
    </row>
    <row r="125" spans="1:6">
      <c r="A125" s="607">
        <v>10</v>
      </c>
      <c r="B125" s="608"/>
      <c r="C125" s="79"/>
      <c r="D125" s="79"/>
      <c r="E125" s="79"/>
      <c r="F125" s="419">
        <f t="shared" si="9"/>
        <v>0</v>
      </c>
    </row>
    <row r="126" spans="1:6">
      <c r="A126" s="607">
        <v>11</v>
      </c>
      <c r="B126" s="608"/>
      <c r="C126" s="79"/>
      <c r="D126" s="79"/>
      <c r="E126" s="79"/>
      <c r="F126" s="419">
        <f t="shared" si="9"/>
        <v>0</v>
      </c>
    </row>
    <row r="127" spans="1:6">
      <c r="A127" s="607">
        <v>12</v>
      </c>
      <c r="B127" s="608"/>
      <c r="C127" s="79"/>
      <c r="D127" s="79"/>
      <c r="E127" s="79"/>
      <c r="F127" s="419">
        <f t="shared" si="9"/>
        <v>0</v>
      </c>
    </row>
    <row r="128" spans="1:6">
      <c r="A128" s="607">
        <v>13</v>
      </c>
      <c r="B128" s="608"/>
      <c r="C128" s="79"/>
      <c r="D128" s="79"/>
      <c r="E128" s="79"/>
      <c r="F128" s="419">
        <f t="shared" si="9"/>
        <v>0</v>
      </c>
    </row>
    <row r="129" spans="1:6">
      <c r="A129" s="607">
        <v>14</v>
      </c>
      <c r="B129" s="608"/>
      <c r="C129" s="79"/>
      <c r="D129" s="79"/>
      <c r="E129" s="79"/>
      <c r="F129" s="419">
        <f t="shared" si="9"/>
        <v>0</v>
      </c>
    </row>
    <row r="130" spans="1:6">
      <c r="A130" s="607">
        <v>15</v>
      </c>
      <c r="B130" s="608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7" t="s">
        <v>1005</v>
      </c>
      <c r="B133" s="608"/>
      <c r="C133" s="79">
        <v>1484</v>
      </c>
      <c r="D133" s="79">
        <v>0.77</v>
      </c>
      <c r="E133" s="79">
        <f>+C133</f>
        <v>1484</v>
      </c>
      <c r="F133" s="419">
        <f>C133-E133</f>
        <v>0</v>
      </c>
    </row>
    <row r="134" spans="1:6">
      <c r="A134" s="607" t="s">
        <v>1009</v>
      </c>
      <c r="B134" s="608"/>
      <c r="C134" s="79">
        <v>83</v>
      </c>
      <c r="D134" s="79">
        <v>0.53</v>
      </c>
      <c r="E134" s="79">
        <v>83</v>
      </c>
      <c r="F134" s="419">
        <f t="shared" ref="F134:F147" si="10">C134-E134</f>
        <v>0</v>
      </c>
    </row>
    <row r="135" spans="1:6">
      <c r="A135" s="607">
        <v>3</v>
      </c>
      <c r="B135" s="608"/>
      <c r="C135" s="79"/>
      <c r="D135" s="79"/>
      <c r="E135" s="79"/>
      <c r="F135" s="419">
        <f t="shared" si="10"/>
        <v>0</v>
      </c>
    </row>
    <row r="136" spans="1:6">
      <c r="A136" s="607">
        <v>4</v>
      </c>
      <c r="B136" s="608"/>
      <c r="C136" s="79"/>
      <c r="D136" s="79"/>
      <c r="E136" s="79"/>
      <c r="F136" s="419">
        <f t="shared" si="10"/>
        <v>0</v>
      </c>
    </row>
    <row r="137" spans="1:6">
      <c r="A137" s="607">
        <v>5</v>
      </c>
      <c r="B137" s="608"/>
      <c r="C137" s="79"/>
      <c r="D137" s="79"/>
      <c r="E137" s="79"/>
      <c r="F137" s="419">
        <f t="shared" si="10"/>
        <v>0</v>
      </c>
    </row>
    <row r="138" spans="1:6">
      <c r="A138" s="607">
        <v>6</v>
      </c>
      <c r="B138" s="608"/>
      <c r="C138" s="79"/>
      <c r="D138" s="79"/>
      <c r="E138" s="79"/>
      <c r="F138" s="419">
        <f t="shared" si="10"/>
        <v>0</v>
      </c>
    </row>
    <row r="139" spans="1:6">
      <c r="A139" s="607">
        <v>7</v>
      </c>
      <c r="B139" s="608"/>
      <c r="C139" s="79"/>
      <c r="D139" s="79"/>
      <c r="E139" s="79"/>
      <c r="F139" s="419">
        <f t="shared" si="10"/>
        <v>0</v>
      </c>
    </row>
    <row r="140" spans="1:6">
      <c r="A140" s="607">
        <v>8</v>
      </c>
      <c r="B140" s="608"/>
      <c r="C140" s="79"/>
      <c r="D140" s="79"/>
      <c r="E140" s="79"/>
      <c r="F140" s="419">
        <f t="shared" si="10"/>
        <v>0</v>
      </c>
    </row>
    <row r="141" spans="1:6">
      <c r="A141" s="607">
        <v>9</v>
      </c>
      <c r="B141" s="608"/>
      <c r="C141" s="79"/>
      <c r="D141" s="79"/>
      <c r="E141" s="79"/>
      <c r="F141" s="419">
        <f t="shared" si="10"/>
        <v>0</v>
      </c>
    </row>
    <row r="142" spans="1:6">
      <c r="A142" s="607">
        <v>10</v>
      </c>
      <c r="B142" s="608"/>
      <c r="C142" s="79"/>
      <c r="D142" s="79"/>
      <c r="E142" s="79"/>
      <c r="F142" s="419">
        <f t="shared" si="10"/>
        <v>0</v>
      </c>
    </row>
    <row r="143" spans="1:6">
      <c r="A143" s="607">
        <v>11</v>
      </c>
      <c r="B143" s="608"/>
      <c r="C143" s="79"/>
      <c r="D143" s="79"/>
      <c r="E143" s="79"/>
      <c r="F143" s="419">
        <f t="shared" si="10"/>
        <v>0</v>
      </c>
    </row>
    <row r="144" spans="1:6">
      <c r="A144" s="607">
        <v>12</v>
      </c>
      <c r="B144" s="608"/>
      <c r="C144" s="79"/>
      <c r="D144" s="79"/>
      <c r="E144" s="79"/>
      <c r="F144" s="419">
        <f t="shared" si="10"/>
        <v>0</v>
      </c>
    </row>
    <row r="145" spans="1:8">
      <c r="A145" s="607">
        <v>13</v>
      </c>
      <c r="B145" s="608"/>
      <c r="C145" s="79"/>
      <c r="D145" s="79"/>
      <c r="E145" s="79"/>
      <c r="F145" s="419">
        <f t="shared" si="10"/>
        <v>0</v>
      </c>
    </row>
    <row r="146" spans="1:8">
      <c r="A146" s="607">
        <v>14</v>
      </c>
      <c r="B146" s="608"/>
      <c r="C146" s="79"/>
      <c r="D146" s="79"/>
      <c r="E146" s="79"/>
      <c r="F146" s="419">
        <f t="shared" si="10"/>
        <v>0</v>
      </c>
    </row>
    <row r="147" spans="1:8">
      <c r="A147" s="607">
        <v>15</v>
      </c>
      <c r="B147" s="608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1567</v>
      </c>
      <c r="D148" s="421"/>
      <c r="E148" s="421">
        <f>SUM(E133:E147)</f>
        <v>1567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35751</v>
      </c>
      <c r="D149" s="421"/>
      <c r="E149" s="421">
        <f>E148+E131+E114+E97</f>
        <v>1567</v>
      </c>
      <c r="F149" s="421">
        <f>F148+F131+F114+F97</f>
        <v>34184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0" t="s">
        <v>977</v>
      </c>
      <c r="B151" s="628">
        <f>pdeReportingDate</f>
        <v>43551</v>
      </c>
      <c r="C151" s="628"/>
      <c r="D151" s="628"/>
      <c r="E151" s="628"/>
      <c r="F151" s="628"/>
      <c r="G151" s="628"/>
      <c r="H151" s="628"/>
    </row>
    <row r="152" spans="1:8">
      <c r="A152" s="620"/>
      <c r="B152" s="46"/>
      <c r="C152" s="46"/>
      <c r="D152" s="46"/>
      <c r="E152" s="46"/>
      <c r="F152" s="46"/>
      <c r="G152" s="46"/>
      <c r="H152" s="46"/>
    </row>
    <row r="153" spans="1:8">
      <c r="A153" s="621" t="s">
        <v>8</v>
      </c>
      <c r="B153" s="629" t="str">
        <f>authorName</f>
        <v>ЙОРДАНКА ПЕТКОВА</v>
      </c>
      <c r="C153" s="629"/>
      <c r="D153" s="629"/>
      <c r="E153" s="629"/>
      <c r="F153" s="629"/>
      <c r="G153" s="629"/>
      <c r="H153" s="629"/>
    </row>
    <row r="154" spans="1:8">
      <c r="A154" s="621"/>
      <c r="B154" s="68"/>
      <c r="C154" s="68"/>
      <c r="D154" s="68"/>
      <c r="E154" s="68"/>
      <c r="F154" s="68"/>
      <c r="G154" s="68"/>
      <c r="H154" s="68"/>
    </row>
    <row r="155" spans="1:8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>
      <c r="A156" s="622"/>
      <c r="B156" s="627" t="s">
        <v>990</v>
      </c>
      <c r="C156" s="627"/>
      <c r="D156" s="627"/>
      <c r="E156" s="627"/>
      <c r="F156" s="516"/>
      <c r="G156" s="40"/>
      <c r="H156" s="37"/>
    </row>
    <row r="157" spans="1:8">
      <c r="A157" s="622"/>
      <c r="B157" s="627" t="s">
        <v>979</v>
      </c>
      <c r="C157" s="627"/>
      <c r="D157" s="627"/>
      <c r="E157" s="627"/>
      <c r="F157" s="516"/>
      <c r="G157" s="40"/>
      <c r="H157" s="37"/>
    </row>
    <row r="158" spans="1:8">
      <c r="A158" s="622"/>
      <c r="B158" s="627" t="s">
        <v>979</v>
      </c>
      <c r="C158" s="627"/>
      <c r="D158" s="627"/>
      <c r="E158" s="627"/>
      <c r="F158" s="516"/>
      <c r="G158" s="40"/>
      <c r="H158" s="37"/>
    </row>
    <row r="159" spans="1:8">
      <c r="A159" s="622"/>
      <c r="B159" s="627" t="s">
        <v>979</v>
      </c>
      <c r="C159" s="627"/>
      <c r="D159" s="627"/>
      <c r="E159" s="627"/>
      <c r="F159" s="516"/>
      <c r="G159" s="40"/>
      <c r="H159" s="37"/>
    </row>
    <row r="160" spans="1:8">
      <c r="A160" s="622"/>
      <c r="B160" s="627"/>
      <c r="C160" s="627"/>
      <c r="D160" s="627"/>
      <c r="E160" s="627"/>
      <c r="F160" s="516"/>
      <c r="G160" s="40"/>
      <c r="H160" s="37"/>
    </row>
    <row r="161" spans="1:8">
      <c r="A161" s="622"/>
      <c r="B161" s="627"/>
      <c r="C161" s="627"/>
      <c r="D161" s="627"/>
      <c r="E161" s="627"/>
      <c r="F161" s="516"/>
      <c r="G161" s="40"/>
      <c r="H161" s="37"/>
    </row>
    <row r="162" spans="1:8">
      <c r="A162" s="622"/>
      <c r="B162" s="627"/>
      <c r="C162" s="627"/>
      <c r="D162" s="627"/>
      <c r="E162" s="627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zoomScale="80" zoomScaleNormal="85" zoomScaleSheetLayoutView="80" workbookViewId="0">
      <selection activeCell="B3" sqref="B3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31.12.2018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4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f>41345+3716</f>
        <v>45061</v>
      </c>
      <c r="E11" s="289">
        <v>1752</v>
      </c>
      <c r="F11" s="289">
        <v>3186</v>
      </c>
      <c r="G11" s="285">
        <f>D11+E11-F11</f>
        <v>43627</v>
      </c>
      <c r="H11" s="289"/>
      <c r="I11" s="289"/>
      <c r="J11" s="285">
        <f>G11+H11-I11</f>
        <v>43627</v>
      </c>
      <c r="K11" s="289">
        <v>0</v>
      </c>
      <c r="L11" s="289"/>
      <c r="M11" s="289"/>
      <c r="N11" s="285">
        <f>K11+L11-M11</f>
        <v>0</v>
      </c>
      <c r="O11" s="289"/>
      <c r="P11" s="289"/>
      <c r="Q11" s="285">
        <f t="shared" ref="Q11:Q27" si="0">N11+O11-P11</f>
        <v>0</v>
      </c>
      <c r="R11" s="299">
        <f t="shared" ref="R11:R27" si="1">J11-Q11</f>
        <v>43627</v>
      </c>
    </row>
    <row r="12" spans="1:18">
      <c r="A12" s="298" t="s">
        <v>524</v>
      </c>
      <c r="B12" s="282" t="s">
        <v>525</v>
      </c>
      <c r="C12" s="128" t="s">
        <v>526</v>
      </c>
      <c r="D12" s="289">
        <f>117223+10941-382</f>
        <v>127782</v>
      </c>
      <c r="E12" s="289">
        <v>2006</v>
      </c>
      <c r="F12" s="289">
        <v>8110</v>
      </c>
      <c r="G12" s="285">
        <f t="shared" ref="G12:G41" si="2">D12+E12-F12</f>
        <v>121678</v>
      </c>
      <c r="H12" s="289"/>
      <c r="I12" s="289"/>
      <c r="J12" s="285">
        <f t="shared" ref="J12:J41" si="3">G12+H12-I12</f>
        <v>121678</v>
      </c>
      <c r="K12" s="289">
        <f>27690+2848</f>
        <v>30538</v>
      </c>
      <c r="L12" s="289">
        <v>4645</v>
      </c>
      <c r="M12" s="289">
        <v>3195</v>
      </c>
      <c r="N12" s="285">
        <f t="shared" ref="N12:N41" si="4">K12+L12-M12</f>
        <v>31988</v>
      </c>
      <c r="O12" s="289"/>
      <c r="P12" s="289"/>
      <c r="Q12" s="285">
        <f t="shared" si="0"/>
        <v>31988</v>
      </c>
      <c r="R12" s="299">
        <f t="shared" si="1"/>
        <v>89690</v>
      </c>
    </row>
    <row r="13" spans="1:18">
      <c r="A13" s="298" t="s">
        <v>527</v>
      </c>
      <c r="B13" s="282" t="s">
        <v>528</v>
      </c>
      <c r="C13" s="128" t="s">
        <v>529</v>
      </c>
      <c r="D13" s="289">
        <f>161920+7806</f>
        <v>169726</v>
      </c>
      <c r="E13" s="289">
        <v>7046</v>
      </c>
      <c r="F13" s="289">
        <v>2990</v>
      </c>
      <c r="G13" s="285">
        <f t="shared" si="2"/>
        <v>173782</v>
      </c>
      <c r="H13" s="289"/>
      <c r="I13" s="289"/>
      <c r="J13" s="285">
        <f t="shared" si="3"/>
        <v>173782</v>
      </c>
      <c r="K13" s="289">
        <f>89232+4866</f>
        <v>94098</v>
      </c>
      <c r="L13" s="289">
        <v>9420</v>
      </c>
      <c r="M13" s="289">
        <v>2461</v>
      </c>
      <c r="N13" s="285">
        <f t="shared" si="4"/>
        <v>101057</v>
      </c>
      <c r="O13" s="289"/>
      <c r="P13" s="289"/>
      <c r="Q13" s="285">
        <f t="shared" si="0"/>
        <v>101057</v>
      </c>
      <c r="R13" s="299">
        <f t="shared" si="1"/>
        <v>72725</v>
      </c>
    </row>
    <row r="14" spans="1:18">
      <c r="A14" s="298" t="s">
        <v>530</v>
      </c>
      <c r="B14" s="282" t="s">
        <v>531</v>
      </c>
      <c r="C14" s="128" t="s">
        <v>532</v>
      </c>
      <c r="D14" s="289">
        <f>14779+1524</f>
        <v>16303</v>
      </c>
      <c r="E14" s="289">
        <v>962</v>
      </c>
      <c r="F14" s="289">
        <v>857</v>
      </c>
      <c r="G14" s="285">
        <f t="shared" si="2"/>
        <v>16408</v>
      </c>
      <c r="H14" s="289"/>
      <c r="I14" s="289"/>
      <c r="J14" s="285">
        <f t="shared" si="3"/>
        <v>16408</v>
      </c>
      <c r="K14" s="289">
        <f>4245+514</f>
        <v>4759</v>
      </c>
      <c r="L14" s="289">
        <v>931</v>
      </c>
      <c r="M14" s="289">
        <v>249</v>
      </c>
      <c r="N14" s="285">
        <f t="shared" si="4"/>
        <v>5441</v>
      </c>
      <c r="O14" s="289"/>
      <c r="P14" s="289"/>
      <c r="Q14" s="285">
        <f t="shared" si="0"/>
        <v>5441</v>
      </c>
      <c r="R14" s="299">
        <f t="shared" si="1"/>
        <v>10967</v>
      </c>
    </row>
    <row r="15" spans="1:18">
      <c r="A15" s="298" t="s">
        <v>533</v>
      </c>
      <c r="B15" s="282" t="s">
        <v>534</v>
      </c>
      <c r="C15" s="128" t="s">
        <v>535</v>
      </c>
      <c r="D15" s="289">
        <f>9699+1283</f>
        <v>10982</v>
      </c>
      <c r="E15" s="289">
        <v>198</v>
      </c>
      <c r="F15" s="289">
        <v>2673</v>
      </c>
      <c r="G15" s="285">
        <f t="shared" si="2"/>
        <v>8507</v>
      </c>
      <c r="H15" s="289"/>
      <c r="I15" s="289"/>
      <c r="J15" s="285">
        <f t="shared" si="3"/>
        <v>8507</v>
      </c>
      <c r="K15" s="289">
        <f>7700+539</f>
        <v>8239</v>
      </c>
      <c r="L15" s="289">
        <v>804</v>
      </c>
      <c r="M15" s="289">
        <v>2249</v>
      </c>
      <c r="N15" s="285">
        <f t="shared" si="4"/>
        <v>6794</v>
      </c>
      <c r="O15" s="289"/>
      <c r="P15" s="289"/>
      <c r="Q15" s="285">
        <f t="shared" si="0"/>
        <v>6794</v>
      </c>
      <c r="R15" s="299">
        <f t="shared" si="1"/>
        <v>1713</v>
      </c>
    </row>
    <row r="16" spans="1:18">
      <c r="A16" s="320" t="s">
        <v>838</v>
      </c>
      <c r="B16" s="282" t="s">
        <v>536</v>
      </c>
      <c r="C16" s="128" t="s">
        <v>537</v>
      </c>
      <c r="D16" s="289">
        <f>12146+886</f>
        <v>13032</v>
      </c>
      <c r="E16" s="289">
        <v>324</v>
      </c>
      <c r="F16" s="289">
        <v>975</v>
      </c>
      <c r="G16" s="285">
        <f t="shared" si="2"/>
        <v>12381</v>
      </c>
      <c r="H16" s="289"/>
      <c r="I16" s="289"/>
      <c r="J16" s="285">
        <f t="shared" si="3"/>
        <v>12381</v>
      </c>
      <c r="K16" s="289">
        <f>9535+469</f>
        <v>10004</v>
      </c>
      <c r="L16" s="289">
        <v>641</v>
      </c>
      <c r="M16" s="289">
        <v>740</v>
      </c>
      <c r="N16" s="285">
        <f t="shared" si="4"/>
        <v>9905</v>
      </c>
      <c r="O16" s="289"/>
      <c r="P16" s="289"/>
      <c r="Q16" s="285">
        <f t="shared" si="0"/>
        <v>9905</v>
      </c>
      <c r="R16" s="299">
        <f t="shared" si="1"/>
        <v>2476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f>4195+87</f>
        <v>4282</v>
      </c>
      <c r="E17" s="289">
        <v>11899</v>
      </c>
      <c r="F17" s="289">
        <v>11406</v>
      </c>
      <c r="G17" s="285">
        <f t="shared" si="2"/>
        <v>4775</v>
      </c>
      <c r="H17" s="289"/>
      <c r="I17" s="289"/>
      <c r="J17" s="285">
        <f t="shared" si="3"/>
        <v>4775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4775</v>
      </c>
    </row>
    <row r="18" spans="1:18">
      <c r="A18" s="298" t="s">
        <v>541</v>
      </c>
      <c r="B18" s="130" t="s">
        <v>542</v>
      </c>
      <c r="C18" s="128" t="s">
        <v>543</v>
      </c>
      <c r="D18" s="289">
        <f>109+11</f>
        <v>120</v>
      </c>
      <c r="E18" s="289">
        <v>4</v>
      </c>
      <c r="F18" s="289"/>
      <c r="G18" s="285">
        <f t="shared" si="2"/>
        <v>124</v>
      </c>
      <c r="H18" s="289"/>
      <c r="I18" s="289"/>
      <c r="J18" s="285">
        <f t="shared" si="3"/>
        <v>124</v>
      </c>
      <c r="K18" s="289">
        <f>57+11</f>
        <v>68</v>
      </c>
      <c r="L18" s="289">
        <v>11</v>
      </c>
      <c r="M18" s="289"/>
      <c r="N18" s="285">
        <f t="shared" si="4"/>
        <v>79</v>
      </c>
      <c r="O18" s="289"/>
      <c r="P18" s="289"/>
      <c r="Q18" s="285">
        <f t="shared" si="0"/>
        <v>79</v>
      </c>
      <c r="R18" s="299">
        <f t="shared" si="1"/>
        <v>45</v>
      </c>
    </row>
    <row r="19" spans="1:18">
      <c r="A19" s="298"/>
      <c r="B19" s="283" t="s">
        <v>544</v>
      </c>
      <c r="C19" s="131" t="s">
        <v>545</v>
      </c>
      <c r="D19" s="290">
        <f>SUM(D11:D18)</f>
        <v>387288</v>
      </c>
      <c r="E19" s="290">
        <f>SUM(E11:E18)</f>
        <v>24191</v>
      </c>
      <c r="F19" s="290">
        <f>SUM(F11:F18)</f>
        <v>30197</v>
      </c>
      <c r="G19" s="285">
        <f t="shared" si="2"/>
        <v>381282</v>
      </c>
      <c r="H19" s="290">
        <f>SUM(H11:H18)</f>
        <v>0</v>
      </c>
      <c r="I19" s="290">
        <f>SUM(I11:I18)</f>
        <v>0</v>
      </c>
      <c r="J19" s="285">
        <f t="shared" si="3"/>
        <v>381282</v>
      </c>
      <c r="K19" s="290">
        <f>SUM(K11:K18)</f>
        <v>147706</v>
      </c>
      <c r="L19" s="290">
        <f>SUM(L11:L18)</f>
        <v>16452</v>
      </c>
      <c r="M19" s="290">
        <f>SUM(M11:M18)</f>
        <v>8894</v>
      </c>
      <c r="N19" s="285">
        <f t="shared" si="4"/>
        <v>155264</v>
      </c>
      <c r="O19" s="290">
        <f>SUM(O11:O18)</f>
        <v>0</v>
      </c>
      <c r="P19" s="290">
        <f>SUM(P11:P18)</f>
        <v>0</v>
      </c>
      <c r="Q19" s="285">
        <f t="shared" si="0"/>
        <v>155264</v>
      </c>
      <c r="R19" s="299">
        <f t="shared" si="1"/>
        <v>226018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24799</v>
      </c>
      <c r="E20" s="289">
        <v>12406</v>
      </c>
      <c r="F20" s="289">
        <v>153</v>
      </c>
      <c r="G20" s="285">
        <f t="shared" si="2"/>
        <v>37052</v>
      </c>
      <c r="H20" s="289">
        <v>399</v>
      </c>
      <c r="I20" s="289"/>
      <c r="J20" s="285">
        <f t="shared" si="3"/>
        <v>37451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37451</v>
      </c>
    </row>
    <row r="21" spans="1:18">
      <c r="A21" s="297" t="s">
        <v>829</v>
      </c>
      <c r="B21" s="284" t="s">
        <v>548</v>
      </c>
      <c r="C21" s="131" t="s">
        <v>549</v>
      </c>
      <c r="D21" s="289">
        <v>139</v>
      </c>
      <c r="E21" s="289">
        <v>828</v>
      </c>
      <c r="F21" s="289"/>
      <c r="G21" s="285">
        <f t="shared" si="2"/>
        <v>967</v>
      </c>
      <c r="H21" s="289"/>
      <c r="I21" s="289">
        <v>29</v>
      </c>
      <c r="J21" s="285">
        <f t="shared" si="3"/>
        <v>938</v>
      </c>
      <c r="K21" s="289"/>
      <c r="L21" s="289"/>
      <c r="M21" s="289"/>
      <c r="N21" s="285">
        <f t="shared" si="4"/>
        <v>0</v>
      </c>
      <c r="O21" s="289"/>
      <c r="P21" s="289"/>
      <c r="Q21" s="285">
        <f t="shared" si="0"/>
        <v>0</v>
      </c>
      <c r="R21" s="299">
        <f t="shared" si="1"/>
        <v>938</v>
      </c>
    </row>
    <row r="22" spans="1:18">
      <c r="A22" s="297" t="s">
        <v>550</v>
      </c>
      <c r="B22" s="281" t="s">
        <v>551</v>
      </c>
      <c r="C22" s="128"/>
      <c r="D22" s="291"/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/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>
        <f>5374+5771</f>
        <v>11145</v>
      </c>
      <c r="E23" s="289">
        <v>595</v>
      </c>
      <c r="F23" s="289">
        <v>72</v>
      </c>
      <c r="G23" s="285">
        <f t="shared" si="2"/>
        <v>11668</v>
      </c>
      <c r="H23" s="289"/>
      <c r="I23" s="289"/>
      <c r="J23" s="285">
        <f t="shared" si="3"/>
        <v>11668</v>
      </c>
      <c r="K23" s="289">
        <f>2088+5035</f>
        <v>7123</v>
      </c>
      <c r="L23" s="289">
        <v>857</v>
      </c>
      <c r="M23" s="289">
        <v>41</v>
      </c>
      <c r="N23" s="285">
        <f t="shared" si="4"/>
        <v>7939</v>
      </c>
      <c r="O23" s="289"/>
      <c r="P23" s="289"/>
      <c r="Q23" s="285">
        <f t="shared" si="0"/>
        <v>7939</v>
      </c>
      <c r="R23" s="299">
        <f t="shared" si="1"/>
        <v>3729</v>
      </c>
    </row>
    <row r="24" spans="1:18">
      <c r="A24" s="298" t="s">
        <v>524</v>
      </c>
      <c r="B24" s="282" t="s">
        <v>554</v>
      </c>
      <c r="C24" s="128" t="s">
        <v>555</v>
      </c>
      <c r="D24" s="289">
        <f>4405+15</f>
        <v>4420</v>
      </c>
      <c r="E24" s="289">
        <v>110</v>
      </c>
      <c r="F24" s="289"/>
      <c r="G24" s="285">
        <f t="shared" si="2"/>
        <v>4530</v>
      </c>
      <c r="H24" s="289"/>
      <c r="I24" s="289"/>
      <c r="J24" s="285">
        <f t="shared" si="3"/>
        <v>4530</v>
      </c>
      <c r="K24" s="289">
        <f>2774+18</f>
        <v>2792</v>
      </c>
      <c r="L24" s="289">
        <v>322</v>
      </c>
      <c r="M24" s="289">
        <v>31</v>
      </c>
      <c r="N24" s="285">
        <f t="shared" si="4"/>
        <v>3083</v>
      </c>
      <c r="O24" s="289"/>
      <c r="P24" s="289"/>
      <c r="Q24" s="285">
        <f t="shared" si="0"/>
        <v>3083</v>
      </c>
      <c r="R24" s="299">
        <f t="shared" si="1"/>
        <v>1447</v>
      </c>
    </row>
    <row r="25" spans="1:18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109</v>
      </c>
      <c r="E26" s="289">
        <v>104</v>
      </c>
      <c r="F26" s="289">
        <v>206</v>
      </c>
      <c r="G26" s="285">
        <f t="shared" si="2"/>
        <v>7</v>
      </c>
      <c r="H26" s="289"/>
      <c r="I26" s="289"/>
      <c r="J26" s="285">
        <f t="shared" si="3"/>
        <v>7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7</v>
      </c>
    </row>
    <row r="27" spans="1:18">
      <c r="A27" s="298"/>
      <c r="B27" s="283" t="s">
        <v>559</v>
      </c>
      <c r="C27" s="133" t="s">
        <v>560</v>
      </c>
      <c r="D27" s="292">
        <f>SUM(D23:D26)</f>
        <v>15674</v>
      </c>
      <c r="E27" s="292">
        <f t="shared" ref="E27:F27" si="5">SUM(E23:E26)</f>
        <v>809</v>
      </c>
      <c r="F27" s="292">
        <f t="shared" si="5"/>
        <v>278</v>
      </c>
      <c r="G27" s="293">
        <f t="shared" si="2"/>
        <v>16205</v>
      </c>
      <c r="H27" s="292">
        <f t="shared" ref="H27:P27" si="6">SUM(H23:H26)</f>
        <v>0</v>
      </c>
      <c r="I27" s="292">
        <f t="shared" si="6"/>
        <v>0</v>
      </c>
      <c r="J27" s="293">
        <f t="shared" si="3"/>
        <v>16205</v>
      </c>
      <c r="K27" s="292">
        <f t="shared" si="6"/>
        <v>9915</v>
      </c>
      <c r="L27" s="292">
        <f t="shared" si="6"/>
        <v>1179</v>
      </c>
      <c r="M27" s="292">
        <f t="shared" si="6"/>
        <v>72</v>
      </c>
      <c r="N27" s="293">
        <f t="shared" si="4"/>
        <v>11022</v>
      </c>
      <c r="O27" s="292">
        <f t="shared" si="6"/>
        <v>0</v>
      </c>
      <c r="P27" s="292">
        <f t="shared" si="6"/>
        <v>0</v>
      </c>
      <c r="Q27" s="293">
        <f t="shared" si="0"/>
        <v>11022</v>
      </c>
      <c r="R27" s="302">
        <f t="shared" si="1"/>
        <v>5183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105021</v>
      </c>
      <c r="E29" s="295">
        <f t="shared" ref="E29:P29" si="7">SUM(E30:E33)</f>
        <v>2263</v>
      </c>
      <c r="F29" s="295">
        <f t="shared" si="7"/>
        <v>1566</v>
      </c>
      <c r="G29" s="295">
        <f t="shared" si="2"/>
        <v>105718</v>
      </c>
      <c r="H29" s="295">
        <f t="shared" si="7"/>
        <v>0</v>
      </c>
      <c r="I29" s="295">
        <f t="shared" si="7"/>
        <v>212</v>
      </c>
      <c r="J29" s="295">
        <f t="shared" si="3"/>
        <v>105506</v>
      </c>
      <c r="K29" s="295">
        <f t="shared" si="7"/>
        <v>0</v>
      </c>
      <c r="L29" s="295">
        <f t="shared" si="7"/>
        <v>0</v>
      </c>
      <c r="M29" s="295">
        <f t="shared" si="7"/>
        <v>0</v>
      </c>
      <c r="N29" s="295">
        <f t="shared" si="4"/>
        <v>0</v>
      </c>
      <c r="O29" s="295">
        <f t="shared" si="7"/>
        <v>0</v>
      </c>
      <c r="P29" s="295">
        <f t="shared" si="7"/>
        <v>0</v>
      </c>
      <c r="Q29" s="295">
        <f>N29+O29-P29</f>
        <v>0</v>
      </c>
      <c r="R29" s="304">
        <f>J29-Q29</f>
        <v>105506</v>
      </c>
    </row>
    <row r="30" spans="1:18">
      <c r="A30" s="298"/>
      <c r="B30" s="282" t="s">
        <v>108</v>
      </c>
      <c r="C30" s="128" t="s">
        <v>563</v>
      </c>
      <c r="D30" s="289">
        <f>120145+4820-35236</f>
        <v>89729</v>
      </c>
      <c r="E30" s="289">
        <v>292</v>
      </c>
      <c r="F30" s="289"/>
      <c r="G30" s="285">
        <f t="shared" si="2"/>
        <v>90021</v>
      </c>
      <c r="H30" s="289"/>
      <c r="I30" s="289">
        <v>76</v>
      </c>
      <c r="J30" s="285">
        <f t="shared" si="3"/>
        <v>89945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8">N30+O30-P30</f>
        <v>0</v>
      </c>
      <c r="R30" s="299">
        <f t="shared" ref="R30:R41" si="9">J30-Q30</f>
        <v>89945</v>
      </c>
    </row>
    <row r="31" spans="1:18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8"/>
        <v>0</v>
      </c>
      <c r="R31" s="299">
        <f t="shared" si="9"/>
        <v>0</v>
      </c>
    </row>
    <row r="32" spans="1:18">
      <c r="A32" s="298"/>
      <c r="B32" s="282" t="s">
        <v>113</v>
      </c>
      <c r="C32" s="128" t="s">
        <v>565</v>
      </c>
      <c r="D32" s="289">
        <v>7740</v>
      </c>
      <c r="E32" s="289">
        <v>227</v>
      </c>
      <c r="F32" s="289">
        <v>5</v>
      </c>
      <c r="G32" s="285">
        <f t="shared" si="2"/>
        <v>7962</v>
      </c>
      <c r="H32" s="289"/>
      <c r="I32" s="289"/>
      <c r="J32" s="285">
        <f t="shared" si="3"/>
        <v>7962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8"/>
        <v>0</v>
      </c>
      <c r="R32" s="299">
        <f t="shared" si="9"/>
        <v>7962</v>
      </c>
    </row>
    <row r="33" spans="1:18">
      <c r="A33" s="298"/>
      <c r="B33" s="282" t="s">
        <v>115</v>
      </c>
      <c r="C33" s="128" t="s">
        <v>566</v>
      </c>
      <c r="D33" s="289">
        <f>7206+346</f>
        <v>7552</v>
      </c>
      <c r="E33" s="289">
        <v>1744</v>
      </c>
      <c r="F33" s="289">
        <v>1561</v>
      </c>
      <c r="G33" s="285">
        <f t="shared" si="2"/>
        <v>7735</v>
      </c>
      <c r="H33" s="289"/>
      <c r="I33" s="289">
        <v>136</v>
      </c>
      <c r="J33" s="285">
        <f t="shared" si="3"/>
        <v>7599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8"/>
        <v>0</v>
      </c>
      <c r="R33" s="299">
        <f t="shared" si="9"/>
        <v>7599</v>
      </c>
    </row>
    <row r="34" spans="1:18">
      <c r="A34" s="298" t="s">
        <v>524</v>
      </c>
      <c r="B34" s="287" t="s">
        <v>567</v>
      </c>
      <c r="C34" s="128" t="s">
        <v>568</v>
      </c>
      <c r="D34" s="285">
        <f>SUM(D35:D38)</f>
        <v>0</v>
      </c>
      <c r="E34" s="285">
        <f t="shared" ref="E34:P34" si="10">SUM(E35:E38)</f>
        <v>0</v>
      </c>
      <c r="F34" s="285">
        <f t="shared" si="10"/>
        <v>0</v>
      </c>
      <c r="G34" s="285">
        <f t="shared" si="2"/>
        <v>0</v>
      </c>
      <c r="H34" s="285">
        <f t="shared" si="10"/>
        <v>0</v>
      </c>
      <c r="I34" s="285">
        <f t="shared" si="10"/>
        <v>0</v>
      </c>
      <c r="J34" s="285">
        <f t="shared" si="3"/>
        <v>0</v>
      </c>
      <c r="K34" s="285">
        <f t="shared" si="10"/>
        <v>0</v>
      </c>
      <c r="L34" s="285">
        <f t="shared" si="10"/>
        <v>0</v>
      </c>
      <c r="M34" s="285">
        <f t="shared" si="10"/>
        <v>0</v>
      </c>
      <c r="N34" s="285">
        <f t="shared" si="4"/>
        <v>0</v>
      </c>
      <c r="O34" s="285">
        <f t="shared" si="10"/>
        <v>0</v>
      </c>
      <c r="P34" s="285">
        <f t="shared" si="10"/>
        <v>0</v>
      </c>
      <c r="Q34" s="285">
        <f t="shared" si="8"/>
        <v>0</v>
      </c>
      <c r="R34" s="299">
        <f t="shared" si="9"/>
        <v>0</v>
      </c>
    </row>
    <row r="35" spans="1:18">
      <c r="A35" s="298"/>
      <c r="B35" s="282" t="s">
        <v>121</v>
      </c>
      <c r="C35" s="128" t="s">
        <v>569</v>
      </c>
      <c r="D35" s="289"/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8"/>
        <v>0</v>
      </c>
      <c r="R35" s="299">
        <f t="shared" si="9"/>
        <v>0</v>
      </c>
    </row>
    <row r="36" spans="1:18">
      <c r="A36" s="298"/>
      <c r="B36" s="282" t="s">
        <v>570</v>
      </c>
      <c r="C36" s="128" t="s">
        <v>571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8"/>
        <v>0</v>
      </c>
      <c r="R36" s="299">
        <f t="shared" si="9"/>
        <v>0</v>
      </c>
    </row>
    <row r="37" spans="1:18">
      <c r="A37" s="298"/>
      <c r="B37" s="282" t="s">
        <v>572</v>
      </c>
      <c r="C37" s="128" t="s">
        <v>573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8"/>
        <v>0</v>
      </c>
      <c r="R37" s="299">
        <f t="shared" si="9"/>
        <v>0</v>
      </c>
    </row>
    <row r="38" spans="1:18">
      <c r="A38" s="298"/>
      <c r="B38" s="282" t="s">
        <v>574</v>
      </c>
      <c r="C38" s="128" t="s">
        <v>575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8"/>
        <v>0</v>
      </c>
      <c r="R38" s="299">
        <f t="shared" si="9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8"/>
        <v>0</v>
      </c>
      <c r="R39" s="299">
        <f t="shared" si="9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105021</v>
      </c>
      <c r="E40" s="290">
        <f t="shared" ref="E40:P40" si="11">E29+E34+E39</f>
        <v>2263</v>
      </c>
      <c r="F40" s="290">
        <f t="shared" si="11"/>
        <v>1566</v>
      </c>
      <c r="G40" s="285">
        <f t="shared" si="2"/>
        <v>105718</v>
      </c>
      <c r="H40" s="290">
        <f t="shared" si="11"/>
        <v>0</v>
      </c>
      <c r="I40" s="290">
        <f t="shared" si="11"/>
        <v>212</v>
      </c>
      <c r="J40" s="285">
        <f t="shared" si="3"/>
        <v>105506</v>
      </c>
      <c r="K40" s="290">
        <f t="shared" si="11"/>
        <v>0</v>
      </c>
      <c r="L40" s="290">
        <f t="shared" si="11"/>
        <v>0</v>
      </c>
      <c r="M40" s="290">
        <f t="shared" si="11"/>
        <v>0</v>
      </c>
      <c r="N40" s="285">
        <f t="shared" si="4"/>
        <v>0</v>
      </c>
      <c r="O40" s="290">
        <f t="shared" si="11"/>
        <v>0</v>
      </c>
      <c r="P40" s="290">
        <f t="shared" si="11"/>
        <v>0</v>
      </c>
      <c r="Q40" s="285">
        <f t="shared" si="8"/>
        <v>0</v>
      </c>
      <c r="R40" s="299">
        <f t="shared" si="9"/>
        <v>105506</v>
      </c>
    </row>
    <row r="41" spans="1:18">
      <c r="A41" s="300" t="s">
        <v>579</v>
      </c>
      <c r="B41" s="288" t="s">
        <v>580</v>
      </c>
      <c r="C41" s="131" t="s">
        <v>581</v>
      </c>
      <c r="D41" s="289">
        <f>1445+5253</f>
        <v>6698</v>
      </c>
      <c r="E41" s="289"/>
      <c r="F41" s="289"/>
      <c r="G41" s="285">
        <f t="shared" si="2"/>
        <v>6698</v>
      </c>
      <c r="H41" s="289"/>
      <c r="I41" s="289"/>
      <c r="J41" s="285">
        <f t="shared" si="3"/>
        <v>6698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8"/>
        <v>0</v>
      </c>
      <c r="R41" s="299">
        <f t="shared" si="9"/>
        <v>6698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539619</v>
      </c>
      <c r="E42" s="308">
        <f>E19+E20+E21+E27+E40+E41</f>
        <v>40497</v>
      </c>
      <c r="F42" s="308">
        <f t="shared" ref="F42:R42" si="12">F19+F20+F21+F27+F40+F41</f>
        <v>32194</v>
      </c>
      <c r="G42" s="308">
        <f t="shared" si="12"/>
        <v>547922</v>
      </c>
      <c r="H42" s="308">
        <f t="shared" si="12"/>
        <v>399</v>
      </c>
      <c r="I42" s="308">
        <f t="shared" si="12"/>
        <v>241</v>
      </c>
      <c r="J42" s="308">
        <f t="shared" si="12"/>
        <v>548080</v>
      </c>
      <c r="K42" s="308">
        <f t="shared" si="12"/>
        <v>157621</v>
      </c>
      <c r="L42" s="308">
        <f t="shared" si="12"/>
        <v>17631</v>
      </c>
      <c r="M42" s="308">
        <f t="shared" si="12"/>
        <v>8966</v>
      </c>
      <c r="N42" s="308">
        <f t="shared" si="12"/>
        <v>166286</v>
      </c>
      <c r="O42" s="308">
        <f t="shared" si="12"/>
        <v>0</v>
      </c>
      <c r="P42" s="308">
        <f t="shared" si="12"/>
        <v>0</v>
      </c>
      <c r="Q42" s="308">
        <f t="shared" si="12"/>
        <v>166286</v>
      </c>
      <c r="R42" s="309">
        <f t="shared" si="12"/>
        <v>381794</v>
      </c>
    </row>
    <row r="43" spans="1:18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>
      <c r="A45" s="467"/>
      <c r="B45" s="620" t="s">
        <v>977</v>
      </c>
      <c r="C45" s="628">
        <f>pdeReportingDate</f>
        <v>43551</v>
      </c>
      <c r="D45" s="628"/>
      <c r="E45" s="628"/>
      <c r="F45" s="628"/>
      <c r="G45" s="628"/>
      <c r="H45" s="628"/>
      <c r="I45" s="628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B46" s="620"/>
      <c r="C46" s="46"/>
      <c r="D46" s="46"/>
      <c r="E46" s="46"/>
      <c r="F46" s="46"/>
      <c r="G46" s="46"/>
      <c r="H46" s="46"/>
      <c r="I46" s="46"/>
    </row>
    <row r="47" spans="1:18">
      <c r="B47" s="621" t="s">
        <v>8</v>
      </c>
      <c r="C47" s="629" t="str">
        <f>authorName</f>
        <v>ЙОРДАНКА ПЕТКОВА</v>
      </c>
      <c r="D47" s="629"/>
      <c r="E47" s="629"/>
      <c r="F47" s="629"/>
      <c r="G47" s="629"/>
      <c r="H47" s="629"/>
      <c r="I47" s="629"/>
    </row>
    <row r="48" spans="1:18">
      <c r="B48" s="621"/>
      <c r="C48" s="68"/>
      <c r="D48" s="68"/>
      <c r="E48" s="68"/>
      <c r="F48" s="68"/>
      <c r="G48" s="68"/>
      <c r="H48" s="68"/>
      <c r="I48" s="68"/>
    </row>
    <row r="49" spans="2:9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>
      <c r="B50" s="622"/>
      <c r="C50" s="627"/>
      <c r="D50" s="627"/>
      <c r="E50" s="627"/>
      <c r="F50" s="627"/>
      <c r="G50" s="516"/>
      <c r="H50" s="40"/>
      <c r="I50" s="37"/>
    </row>
    <row r="51" spans="2:9">
      <c r="B51" s="622"/>
      <c r="C51" s="627" t="s">
        <v>990</v>
      </c>
      <c r="D51" s="627"/>
      <c r="E51" s="627"/>
      <c r="F51" s="627"/>
      <c r="G51" s="516"/>
      <c r="H51" s="40"/>
      <c r="I51" s="37"/>
    </row>
    <row r="52" spans="2:9">
      <c r="B52" s="622"/>
      <c r="C52" s="627" t="s">
        <v>979</v>
      </c>
      <c r="D52" s="627"/>
      <c r="E52" s="627"/>
      <c r="F52" s="627"/>
      <c r="G52" s="516"/>
      <c r="H52" s="40"/>
      <c r="I52" s="37"/>
    </row>
    <row r="53" spans="2:9">
      <c r="B53" s="622"/>
      <c r="C53" s="627" t="s">
        <v>979</v>
      </c>
      <c r="D53" s="627"/>
      <c r="E53" s="627"/>
      <c r="F53" s="627"/>
      <c r="G53" s="516"/>
      <c r="H53" s="40"/>
      <c r="I53" s="37"/>
    </row>
    <row r="54" spans="2:9">
      <c r="B54" s="622"/>
      <c r="C54" s="627"/>
      <c r="D54" s="627"/>
      <c r="E54" s="627"/>
      <c r="F54" s="627"/>
      <c r="G54" s="516"/>
      <c r="H54" s="40"/>
      <c r="I54" s="37"/>
    </row>
    <row r="55" spans="2:9">
      <c r="B55" s="622"/>
      <c r="C55" s="627"/>
      <c r="D55" s="627"/>
      <c r="E55" s="627"/>
      <c r="F55" s="627"/>
      <c r="G55" s="516"/>
      <c r="H55" s="40"/>
      <c r="I55" s="37"/>
    </row>
    <row r="56" spans="2:9">
      <c r="B56" s="622"/>
      <c r="C56" s="627"/>
      <c r="D56" s="627"/>
      <c r="E56" s="627"/>
      <c r="F56" s="627"/>
      <c r="G56" s="516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view="pageBreakPreview" topLeftCell="A73" zoomScale="70" zoomScaleNormal="85" zoomScaleSheetLayoutView="70" workbookViewId="0">
      <selection activeCell="C94" sqref="C94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31.12.2018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7" t="s">
        <v>453</v>
      </c>
      <c r="B8" s="659" t="s">
        <v>11</v>
      </c>
      <c r="C8" s="655" t="s">
        <v>587</v>
      </c>
      <c r="D8" s="324" t="s">
        <v>588</v>
      </c>
      <c r="E8" s="325"/>
      <c r="F8" s="107"/>
    </row>
    <row r="9" spans="1:6" s="95" customFormat="1">
      <c r="A9" s="658"/>
      <c r="B9" s="660"/>
      <c r="C9" s="656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23055</v>
      </c>
      <c r="D13" s="321">
        <f>SUM(D14:D16)</f>
        <v>0</v>
      </c>
      <c r="E13" s="328">
        <f>SUM(E14:E16)</f>
        <v>23055</v>
      </c>
      <c r="F13" s="112"/>
    </row>
    <row r="14" spans="1:6">
      <c r="A14" s="329" t="s">
        <v>596</v>
      </c>
      <c r="B14" s="114" t="s">
        <v>597</v>
      </c>
      <c r="C14" s="327">
        <v>22861</v>
      </c>
      <c r="D14" s="327"/>
      <c r="E14" s="328">
        <f t="shared" ref="E14:E44" si="0">C14-D14</f>
        <v>22861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194</v>
      </c>
      <c r="D16" s="327"/>
      <c r="E16" s="328">
        <f t="shared" si="0"/>
        <v>194</v>
      </c>
      <c r="F16" s="112"/>
    </row>
    <row r="17" spans="1:6">
      <c r="A17" s="329" t="s">
        <v>602</v>
      </c>
      <c r="B17" s="114" t="s">
        <v>603</v>
      </c>
      <c r="C17" s="327">
        <v>2341</v>
      </c>
      <c r="D17" s="327"/>
      <c r="E17" s="328">
        <f t="shared" si="0"/>
        <v>2341</v>
      </c>
      <c r="F17" s="112"/>
    </row>
    <row r="18" spans="1:6">
      <c r="A18" s="329" t="s">
        <v>604</v>
      </c>
      <c r="B18" s="114" t="s">
        <v>605</v>
      </c>
      <c r="C18" s="321">
        <f>+C19+C20</f>
        <v>3419</v>
      </c>
      <c r="D18" s="321">
        <f>+D19+D20</f>
        <v>0</v>
      </c>
      <c r="E18" s="328">
        <f t="shared" si="0"/>
        <v>3419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3419</v>
      </c>
      <c r="D20" s="327"/>
      <c r="E20" s="328">
        <f t="shared" si="0"/>
        <v>3419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28815</v>
      </c>
      <c r="D21" s="390">
        <f>D13+D17+D18</f>
        <v>0</v>
      </c>
      <c r="E21" s="391">
        <f>E13+E17+E18</f>
        <v>28815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91509</v>
      </c>
      <c r="D26" s="321">
        <f>SUM(D27:D29)</f>
        <v>91509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19703</v>
      </c>
      <c r="D27" s="327">
        <f>+C27</f>
        <v>19703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71806</v>
      </c>
      <c r="D28" s="327">
        <f t="shared" ref="D28:D34" si="1">+C28</f>
        <v>71806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0</v>
      </c>
      <c r="D29" s="327">
        <f t="shared" si="1"/>
        <v>0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18868</v>
      </c>
      <c r="D30" s="327">
        <f t="shared" si="1"/>
        <v>18868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563</v>
      </c>
      <c r="D31" s="327">
        <f t="shared" si="1"/>
        <v>563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3270</v>
      </c>
      <c r="D32" s="327">
        <f t="shared" si="1"/>
        <v>3270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4423</v>
      </c>
      <c r="D35" s="321">
        <f>SUM(D36:D39)</f>
        <v>4423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0</v>
      </c>
      <c r="D36" s="327">
        <f t="shared" ref="D36:D39" si="2">+C36</f>
        <v>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2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2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4423</v>
      </c>
      <c r="D39" s="327">
        <f t="shared" si="2"/>
        <v>4423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683</v>
      </c>
      <c r="D40" s="321">
        <f>SUM(D41:D44)</f>
        <v>683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>
        <f t="shared" ref="D41:D44" si="3">+C41</f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>
        <f t="shared" si="3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160</v>
      </c>
      <c r="D43" s="327">
        <f t="shared" si="3"/>
        <v>160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523</v>
      </c>
      <c r="D44" s="327">
        <f t="shared" si="3"/>
        <v>523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119316</v>
      </c>
      <c r="D45" s="388">
        <f>D26+D30+D31+D33+D32+D34+D35+D40</f>
        <v>119316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148131</v>
      </c>
      <c r="D46" s="394">
        <f>D45+D23+D21+D11</f>
        <v>119316</v>
      </c>
      <c r="E46" s="395">
        <f>E45+E23+E21+E11</f>
        <v>28815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4" t="s">
        <v>659</v>
      </c>
      <c r="E50" s="324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4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9556</v>
      </c>
      <c r="D58" s="115">
        <f>D59+D61</f>
        <v>0</v>
      </c>
      <c r="E58" s="113">
        <f t="shared" si="4"/>
        <v>9556</v>
      </c>
      <c r="F58" s="354">
        <f>F59+F61</f>
        <v>55276</v>
      </c>
    </row>
    <row r="59" spans="1:6">
      <c r="A59" s="329" t="s">
        <v>671</v>
      </c>
      <c r="B59" s="114" t="s">
        <v>672</v>
      </c>
      <c r="C59" s="162">
        <v>9556</v>
      </c>
      <c r="D59" s="162"/>
      <c r="E59" s="113">
        <f t="shared" si="4"/>
        <v>9556</v>
      </c>
      <c r="F59" s="161">
        <v>55276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9" t="s">
        <v>682</v>
      </c>
      <c r="B66" s="114" t="s">
        <v>683</v>
      </c>
      <c r="C66" s="162"/>
      <c r="D66" s="162"/>
      <c r="E66" s="113">
        <f t="shared" si="4"/>
        <v>0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9556</v>
      </c>
      <c r="D68" s="386">
        <f>D54+D58+D63+D64+D65+D66</f>
        <v>0</v>
      </c>
      <c r="E68" s="384">
        <f t="shared" si="4"/>
        <v>9556</v>
      </c>
      <c r="F68" s="387">
        <f>F54+F58+F63+F64+F65+F66</f>
        <v>55276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6236</v>
      </c>
      <c r="D70" s="162"/>
      <c r="E70" s="113">
        <f t="shared" si="4"/>
        <v>6236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633</v>
      </c>
      <c r="D73" s="115">
        <f>SUM(D74:D76)</f>
        <v>633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474</v>
      </c>
      <c r="D74" s="162">
        <f>+C74</f>
        <v>474</v>
      </c>
      <c r="E74" s="113">
        <f t="shared" si="4"/>
        <v>0</v>
      </c>
      <c r="F74" s="161"/>
    </row>
    <row r="75" spans="1:6">
      <c r="A75" s="329" t="s">
        <v>695</v>
      </c>
      <c r="B75" s="114" t="s">
        <v>696</v>
      </c>
      <c r="C75" s="162">
        <v>0</v>
      </c>
      <c r="D75" s="162">
        <f t="shared" ref="D75:D76" si="5">+C75</f>
        <v>0</v>
      </c>
      <c r="E75" s="113">
        <f t="shared" si="4"/>
        <v>0</v>
      </c>
      <c r="F75" s="161"/>
    </row>
    <row r="76" spans="1:6">
      <c r="A76" s="356" t="s">
        <v>697</v>
      </c>
      <c r="B76" s="114" t="s">
        <v>698</v>
      </c>
      <c r="C76" s="162">
        <v>159</v>
      </c>
      <c r="D76" s="162">
        <f t="shared" si="5"/>
        <v>159</v>
      </c>
      <c r="E76" s="113">
        <f t="shared" si="4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65652</v>
      </c>
      <c r="D77" s="115">
        <f>D78+D80</f>
        <v>65652</v>
      </c>
      <c r="E77" s="115">
        <f>E78+E80</f>
        <v>0</v>
      </c>
      <c r="F77" s="354">
        <f>F78+F80</f>
        <v>165778</v>
      </c>
    </row>
    <row r="78" spans="1:6">
      <c r="A78" s="329" t="s">
        <v>700</v>
      </c>
      <c r="B78" s="114" t="s">
        <v>701</v>
      </c>
      <c r="C78" s="162">
        <v>65652</v>
      </c>
      <c r="D78" s="162">
        <f t="shared" ref="D78:D81" si="6">+C78</f>
        <v>65652</v>
      </c>
      <c r="E78" s="113">
        <f t="shared" si="4"/>
        <v>0</v>
      </c>
      <c r="F78" s="161">
        <v>165778</v>
      </c>
    </row>
    <row r="79" spans="1:6">
      <c r="A79" s="329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7168</v>
      </c>
      <c r="D82" s="115">
        <f>SUM(D83:D86)</f>
        <v>7168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.5">
      <c r="A85" s="329" t="s">
        <v>713</v>
      </c>
      <c r="B85" s="114" t="s">
        <v>714</v>
      </c>
      <c r="C85" s="162">
        <v>7168</v>
      </c>
      <c r="D85" s="162">
        <f t="shared" si="7"/>
        <v>7168</v>
      </c>
      <c r="E85" s="113">
        <f t="shared" si="4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17924</v>
      </c>
      <c r="D87" s="113">
        <f>SUM(D88:D92)+D96</f>
        <v>17924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9" t="s">
        <v>721</v>
      </c>
      <c r="B89" s="114" t="s">
        <v>722</v>
      </c>
      <c r="C89" s="162">
        <v>8775</v>
      </c>
      <c r="D89" s="162">
        <f t="shared" si="8"/>
        <v>8775</v>
      </c>
      <c r="E89" s="113">
        <f t="shared" si="4"/>
        <v>0</v>
      </c>
      <c r="F89" s="161"/>
    </row>
    <row r="90" spans="1:6">
      <c r="A90" s="329" t="s">
        <v>723</v>
      </c>
      <c r="B90" s="114" t="s">
        <v>724</v>
      </c>
      <c r="C90" s="162">
        <v>147</v>
      </c>
      <c r="D90" s="162">
        <f t="shared" si="8"/>
        <v>147</v>
      </c>
      <c r="E90" s="113">
        <f t="shared" si="4"/>
        <v>0</v>
      </c>
      <c r="F90" s="161"/>
    </row>
    <row r="91" spans="1:6">
      <c r="A91" s="329" t="s">
        <v>725</v>
      </c>
      <c r="B91" s="114" t="s">
        <v>726</v>
      </c>
      <c r="C91" s="162">
        <v>5905</v>
      </c>
      <c r="D91" s="162">
        <f t="shared" si="8"/>
        <v>5905</v>
      </c>
      <c r="E91" s="113">
        <f t="shared" si="4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1883</v>
      </c>
      <c r="D92" s="115">
        <f>SUM(D93:D95)</f>
        <v>1883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414</v>
      </c>
      <c r="D93" s="162">
        <f t="shared" ref="D93:D97" si="9">+C93</f>
        <v>414</v>
      </c>
      <c r="E93" s="113">
        <f t="shared" si="4"/>
        <v>0</v>
      </c>
      <c r="F93" s="161"/>
    </row>
    <row r="94" spans="1:6">
      <c r="A94" s="329" t="s">
        <v>637</v>
      </c>
      <c r="B94" s="114" t="s">
        <v>731</v>
      </c>
      <c r="C94" s="162">
        <v>423</v>
      </c>
      <c r="D94" s="162">
        <f t="shared" si="9"/>
        <v>423</v>
      </c>
      <c r="E94" s="113">
        <f t="shared" si="4"/>
        <v>0</v>
      </c>
      <c r="F94" s="161"/>
    </row>
    <row r="95" spans="1:6">
      <c r="A95" s="329" t="s">
        <v>641</v>
      </c>
      <c r="B95" s="114" t="s">
        <v>732</v>
      </c>
      <c r="C95" s="162">
        <v>1046</v>
      </c>
      <c r="D95" s="162">
        <f t="shared" si="9"/>
        <v>1046</v>
      </c>
      <c r="E95" s="113">
        <f t="shared" si="4"/>
        <v>0</v>
      </c>
      <c r="F95" s="161"/>
    </row>
    <row r="96" spans="1:6">
      <c r="A96" s="329" t="s">
        <v>733</v>
      </c>
      <c r="B96" s="114" t="s">
        <v>734</v>
      </c>
      <c r="C96" s="162">
        <v>1214</v>
      </c>
      <c r="D96" s="162">
        <f t="shared" si="9"/>
        <v>1214</v>
      </c>
      <c r="E96" s="113">
        <f t="shared" si="4"/>
        <v>0</v>
      </c>
      <c r="F96" s="161"/>
    </row>
    <row r="97" spans="1:8">
      <c r="A97" s="329" t="s">
        <v>735</v>
      </c>
      <c r="B97" s="114" t="s">
        <v>736</v>
      </c>
      <c r="C97" s="162">
        <v>1483</v>
      </c>
      <c r="D97" s="162">
        <f t="shared" si="9"/>
        <v>1483</v>
      </c>
      <c r="E97" s="113">
        <f t="shared" si="4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92860</v>
      </c>
      <c r="D98" s="384">
        <f>D87+D82+D77+D73+D97</f>
        <v>92860</v>
      </c>
      <c r="E98" s="384">
        <f>E87+E82+E77+E73+E97</f>
        <v>0</v>
      </c>
      <c r="F98" s="385">
        <f>F87+F82+F77+F73+F97</f>
        <v>165778</v>
      </c>
    </row>
    <row r="99" spans="1:8" ht="16.5" thickBot="1">
      <c r="A99" s="365" t="s">
        <v>739</v>
      </c>
      <c r="B99" s="366" t="s">
        <v>740</v>
      </c>
      <c r="C99" s="378">
        <f>C98+C70+C68</f>
        <v>108652</v>
      </c>
      <c r="D99" s="378">
        <f>D98+D70+D68</f>
        <v>92860</v>
      </c>
      <c r="E99" s="378">
        <f>E98+E70+E68</f>
        <v>15792</v>
      </c>
      <c r="F99" s="379">
        <f>F98+F70+F68</f>
        <v>221054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0</v>
      </c>
      <c r="D106" s="241">
        <v>327</v>
      </c>
      <c r="E106" s="241"/>
      <c r="F106" s="374">
        <f>C106+D106-E106</f>
        <v>327</v>
      </c>
    </row>
    <row r="107" spans="1:8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327</v>
      </c>
      <c r="E107" s="376">
        <f>SUM(E104:E106)</f>
        <v>0</v>
      </c>
      <c r="F107" s="377">
        <f>SUM(F104:F106)</f>
        <v>327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4" t="s">
        <v>841</v>
      </c>
      <c r="B109" s="654"/>
      <c r="C109" s="654"/>
      <c r="D109" s="654"/>
      <c r="E109" s="654"/>
      <c r="F109" s="654"/>
    </row>
    <row r="111" spans="1:8">
      <c r="A111" s="620" t="s">
        <v>977</v>
      </c>
      <c r="B111" s="628">
        <f>pdeReportingDate</f>
        <v>43551</v>
      </c>
      <c r="C111" s="628"/>
      <c r="D111" s="628"/>
      <c r="E111" s="628"/>
      <c r="F111" s="628"/>
      <c r="G111" s="46"/>
      <c r="H111" s="46"/>
    </row>
    <row r="112" spans="1:8">
      <c r="A112" s="620"/>
      <c r="B112" s="628"/>
      <c r="C112" s="628"/>
      <c r="D112" s="628"/>
      <c r="E112" s="628"/>
      <c r="F112" s="628"/>
      <c r="G112" s="46"/>
      <c r="H112" s="46"/>
    </row>
    <row r="113" spans="1:8">
      <c r="A113" s="621" t="s">
        <v>8</v>
      </c>
      <c r="B113" s="629" t="str">
        <f>authorName</f>
        <v>ЙОРДАНКА ПЕТКОВА</v>
      </c>
      <c r="C113" s="629"/>
      <c r="D113" s="629"/>
      <c r="E113" s="629"/>
      <c r="F113" s="629"/>
      <c r="G113" s="68"/>
      <c r="H113" s="68"/>
    </row>
    <row r="114" spans="1:8">
      <c r="A114" s="621"/>
      <c r="B114" s="629"/>
      <c r="C114" s="629"/>
      <c r="D114" s="629"/>
      <c r="E114" s="629"/>
      <c r="F114" s="629"/>
      <c r="G114" s="68"/>
      <c r="H114" s="68"/>
    </row>
    <row r="115" spans="1:8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990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>
      <c r="A120" s="622"/>
      <c r="B120" s="627"/>
      <c r="C120" s="627"/>
      <c r="D120" s="627"/>
      <c r="E120" s="627"/>
      <c r="F120" s="627"/>
      <c r="G120" s="622"/>
      <c r="H120" s="622"/>
    </row>
    <row r="121" spans="1:8">
      <c r="A121" s="622"/>
      <c r="B121" s="627"/>
      <c r="C121" s="627"/>
      <c r="D121" s="627"/>
      <c r="E121" s="627"/>
      <c r="F121" s="627"/>
      <c r="G121" s="622"/>
      <c r="H121" s="622"/>
    </row>
    <row r="122" spans="1:8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topLeftCell="A10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69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0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8"/>
      <c r="B10" s="670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259183177</v>
      </c>
      <c r="D13" s="399"/>
      <c r="E13" s="399"/>
      <c r="F13" s="399">
        <v>72277</v>
      </c>
      <c r="G13" s="399"/>
      <c r="H13" s="399">
        <v>212</v>
      </c>
      <c r="I13" s="400">
        <f>F13+G13-H13</f>
        <v>72065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376776297</v>
      </c>
      <c r="D17" s="399"/>
      <c r="E17" s="399"/>
      <c r="F17" s="399">
        <v>33441</v>
      </c>
      <c r="G17" s="399"/>
      <c r="H17" s="399"/>
      <c r="I17" s="400">
        <f t="shared" si="0"/>
        <v>33441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635959474</v>
      </c>
      <c r="D18" s="406">
        <f t="shared" si="1"/>
        <v>0</v>
      </c>
      <c r="E18" s="406">
        <f t="shared" si="1"/>
        <v>0</v>
      </c>
      <c r="F18" s="406">
        <f t="shared" si="1"/>
        <v>105718</v>
      </c>
      <c r="G18" s="406">
        <f t="shared" si="1"/>
        <v>0</v>
      </c>
      <c r="H18" s="406">
        <f t="shared" si="1"/>
        <v>212</v>
      </c>
      <c r="I18" s="407">
        <f t="shared" si="0"/>
        <v>105506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8881336</v>
      </c>
      <c r="D21" s="399"/>
      <c r="E21" s="399"/>
      <c r="F21" s="399">
        <v>33337</v>
      </c>
      <c r="G21" s="399"/>
      <c r="H21" s="399"/>
      <c r="I21" s="400">
        <f t="shared" si="0"/>
        <v>33337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8881336</v>
      </c>
      <c r="D27" s="406">
        <f t="shared" si="2"/>
        <v>0</v>
      </c>
      <c r="E27" s="406">
        <f t="shared" si="2"/>
        <v>0</v>
      </c>
      <c r="F27" s="406">
        <f t="shared" si="2"/>
        <v>33337</v>
      </c>
      <c r="G27" s="406">
        <f t="shared" si="2"/>
        <v>0</v>
      </c>
      <c r="H27" s="406">
        <f t="shared" si="2"/>
        <v>0</v>
      </c>
      <c r="I27" s="407">
        <f t="shared" si="0"/>
        <v>33337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3" t="s">
        <v>843</v>
      </c>
      <c r="B29" s="673"/>
      <c r="C29" s="673"/>
      <c r="D29" s="673"/>
      <c r="E29" s="673"/>
      <c r="F29" s="673"/>
      <c r="G29" s="673"/>
      <c r="H29" s="673"/>
      <c r="I29" s="673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28">
        <f>pdeReportingDate</f>
        <v>43551</v>
      </c>
      <c r="C31" s="628"/>
      <c r="D31" s="628"/>
      <c r="E31" s="628"/>
      <c r="F31" s="628"/>
      <c r="G31" s="100"/>
      <c r="H31" s="100"/>
      <c r="I31" s="100"/>
    </row>
    <row r="32" spans="1:16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>
      <c r="A33" s="621" t="s">
        <v>8</v>
      </c>
      <c r="B33" s="629" t="str">
        <f>authorName</f>
        <v>ЙОРДАНКА ПЕТКОВА</v>
      </c>
      <c r="C33" s="629"/>
      <c r="D33" s="629"/>
      <c r="E33" s="629"/>
      <c r="F33" s="629"/>
      <c r="G33" s="100"/>
      <c r="H33" s="100"/>
      <c r="I33" s="100"/>
    </row>
    <row r="34" spans="1:9">
      <c r="A34" s="621"/>
      <c r="B34" s="666"/>
      <c r="C34" s="666"/>
      <c r="D34" s="666"/>
      <c r="E34" s="666"/>
      <c r="F34" s="666"/>
      <c r="G34" s="666"/>
      <c r="H34" s="666"/>
      <c r="I34" s="666"/>
    </row>
    <row r="35" spans="1:9">
      <c r="A35" s="621" t="s">
        <v>920</v>
      </c>
      <c r="B35" s="665"/>
      <c r="C35" s="665"/>
      <c r="D35" s="665"/>
      <c r="E35" s="665"/>
      <c r="F35" s="665"/>
      <c r="G35" s="665"/>
      <c r="H35" s="665"/>
      <c r="I35" s="665"/>
    </row>
    <row r="36" spans="1:9" ht="15.75" customHeight="1">
      <c r="A36" s="622"/>
      <c r="B36" s="627" t="s">
        <v>990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8.6 Молдова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Tsvetelina Stanimirova</cp:lastModifiedBy>
  <cp:lastPrinted>2019-03-22T12:44:26Z</cp:lastPrinted>
  <dcterms:created xsi:type="dcterms:W3CDTF">2006-09-16T00:00:00Z</dcterms:created>
  <dcterms:modified xsi:type="dcterms:W3CDTF">2019-03-28T09:18:55Z</dcterms:modified>
</cp:coreProperties>
</file>