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lbondzhova\Desktop\2019\YE 2020\!Консо работни файлове\KFN\Vladi\"/>
    </mc:Choice>
  </mc:AlternateContent>
  <bookViews>
    <workbookView xWindow="0" yWindow="0" windowWidth="5760" windowHeight="8616" tabRatio="814" firstSheet="5" activeTab="10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A6AA0378_E1CF_4B3D_9A72_060137E8678B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52511"/>
  <customWorkbookViews>
    <customWorkbookView name="Antoaneta Ivanova Todorova - Personal View" guid="{17A0B690-90B4-478F-B629-540D801E18FD}" mergeInterval="0" personalView="1" xWindow="959" yWindow="-1" windowWidth="962" windowHeight="1032" tabRatio="814" activeSheetId="4"/>
    <customWorkbookView name="Lyudmila Bondzhova - Personal View" guid="{07871067-5294-4FEE-88CE-4A4A5BC97EF0}" mergeInterval="0" personalView="1" maximized="1" xWindow="-9" yWindow="-9" windowWidth="1938" windowHeight="1048" tabRatio="814" activeSheetId="2"/>
    <customWorkbookView name="Vladimir Papazov - Personal View" guid="{F2D4D9F9-DE61-45A3-92A2-4E78F2B34B7F}" mergeInterval="0" personalView="1" maximized="1" xWindow="-9" yWindow="-9" windowWidth="1938" windowHeight="1048" tabRatio="814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6" l="1"/>
  <c r="I29" i="6"/>
  <c r="F78" i="7" l="1"/>
  <c r="K16" i="6" l="1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I27" i="12" s="1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1" l="1"/>
  <c r="I18" i="11"/>
  <c r="I18" i="12"/>
  <c r="B37" i="10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18" i="10" l="1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B34" i="9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B101" i="2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H627" i="15"/>
  <c r="H597" i="15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C13" i="5" s="1"/>
  <c r="H218" i="15" s="1"/>
  <c r="G18" i="2"/>
  <c r="E7" i="13" s="1"/>
  <c r="H562" i="15"/>
  <c r="H1192" i="15"/>
  <c r="E15" i="13"/>
  <c r="Q20" i="6" l="1"/>
  <c r="H860" i="15" s="1"/>
  <c r="Q36" i="6"/>
  <c r="H874" i="15" s="1"/>
  <c r="H1172" i="15"/>
  <c r="G17" i="5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G31" i="5"/>
  <c r="G34" i="5" s="1"/>
  <c r="H327" i="15" s="1"/>
  <c r="E17" i="5"/>
  <c r="H266" i="15" s="1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D94" i="2"/>
  <c r="C85" i="2"/>
  <c r="H64" i="15" s="1"/>
  <c r="D45" i="7"/>
  <c r="Q26" i="6"/>
  <c r="H865" i="15" s="1"/>
  <c r="J33" i="6"/>
  <c r="H661" i="15" s="1"/>
  <c r="H40" i="6"/>
  <c r="H608" i="15" s="1"/>
  <c r="H565" i="15"/>
  <c r="H767" i="15"/>
  <c r="H554" i="15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R36" i="6"/>
  <c r="H904" i="15" s="1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R20" i="6"/>
  <c r="H890" i="15" s="1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D46" i="7" l="1"/>
  <c r="H975" i="15" s="1"/>
  <c r="H222" i="15"/>
  <c r="E31" i="5"/>
  <c r="E34" i="5" s="1"/>
  <c r="H283" i="15" s="1"/>
  <c r="Q29" i="6"/>
  <c r="H867" i="15" s="1"/>
  <c r="M42" i="6"/>
  <c r="H760" i="15" s="1"/>
  <c r="O42" i="6"/>
  <c r="H820" i="15" s="1"/>
  <c r="R30" i="6"/>
  <c r="H898" i="15" s="1"/>
  <c r="C56" i="2"/>
  <c r="H41" i="15" s="1"/>
  <c r="F31" i="5"/>
  <c r="H302" i="15" s="1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24" i="15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R24" i="6"/>
  <c r="H893" i="15" s="1"/>
  <c r="R26" i="6"/>
  <c r="H895" i="15" s="1"/>
  <c r="H566" i="15"/>
  <c r="H31" i="5"/>
  <c r="F34" i="5"/>
  <c r="H305" i="15" s="1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N42" i="6"/>
  <c r="H790" i="15" s="1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H280" i="15" l="1"/>
  <c r="H412" i="15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<sst xmlns="http://schemas.openxmlformats.org/spreadsheetml/2006/main" count="4363" uniqueCount="974">
  <si>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</si>
  <si>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</si>
  <si>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</si>
  <si>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</si>
  <si>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</si>
  <si>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</si>
  <si>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</si>
  <si>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</si>
  <si>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</si>
  <si>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</si>
  <si>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</si>
  <si>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</si>
  <si>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</si>
  <si>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</si>
  <si>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</si>
  <si>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</si>
  <si>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</si>
  <si>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</si>
  <si>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</si>
  <si>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</si>
  <si>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</si>
  <si>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</si>
  <si>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</si>
  <si>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</si>
  <si>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</si>
  <si>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</si>
  <si>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</si>
  <si>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</si>
  <si>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</si>
  <si>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</si>
  <si>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</si>
  <si>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</si>
  <si>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</si>
  <si>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</si>
  <si>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</si>
  <si>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</si>
  <si>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</si>
  <si>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</si>
  <si>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</si>
  <si>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</si>
  <si>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</si>
  <si>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</si>
  <si>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</si>
  <si>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</si>
  <si>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</si>
  <si>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</si>
  <si>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</si>
  <si>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</si>
  <si>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</si>
  <si>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</si>
  <si>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</si>
  <si>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</si>
  <si>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</si>
  <si>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</si>
  <si>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</si>
  <si>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</si>
  <si>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</si>
  <si>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</si>
  <si>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</si>
  <si>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</si>
  <si>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</si>
  <si>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</si>
  <si>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</si>
  <si>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</si>
  <si>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</si>
  <si>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</si>
  <si>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</si>
  <si>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</si>
  <si>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</si>
  <si>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</si>
  <si>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</si>
  <si>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</si>
  <si>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</si>
  <si>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</si>
  <si>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</si>
  <si>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</si>
  <si>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</si>
  <si>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</si>
  <si>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</si>
  <si>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</si>
  <si>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</si>
  <si>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</si>
  <si>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</si>
  <si>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</si>
  <si>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</si>
  <si>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</si>
  <si>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</si>
  <si>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</si>
  <si>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</si>
  <si>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</si>
  <si>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</si>
  <si>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</si>
  <si>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</si>
  <si>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</si>
  <si>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</si>
  <si>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</si>
  <si>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</si>
  <si>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</si>
  <si>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</si>
  <si>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</si>
  <si>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</si>
  <si>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</si>
  <si>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</si>
  <si>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</si>
  <si>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</si>
  <si>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</si>
  <si>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</si>
  <si>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</si>
  <si>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</si>
  <si>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</si>
  <si>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</si>
  <si>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</si>
  <si>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</si>
  <si>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</si>
  <si>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</si>
  <si>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</si>
  <si>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</si>
  <si>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</si>
  <si>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</si>
  <si>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</si>
  <si>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</si>
  <si>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</si>
  <si>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</si>
  <si>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</si>
  <si>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</si>
  <si>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</si>
  <si>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</si>
  <si>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</si>
  <si>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</si>
  <si>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</si>
  <si>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</si>
  <si>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</si>
  <si>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</si>
  <si>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</si>
  <si>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</si>
  <si>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</si>
  <si>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</si>
  <si>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</si>
  <si>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</si>
  <si>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</si>
  <si>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</si>
  <si>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</si>
  <si>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</si>
  <si>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</si>
  <si>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</si>
  <si>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</si>
  <si>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</si>
  <si>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</si>
  <si>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</si>
  <si>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</si>
  <si>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</si>
  <si>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</si>
  <si>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</si>
  <si>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</si>
  <si>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</si>
  <si>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</si>
  <si>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</si>
  <si>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</si>
  <si>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</si>
  <si>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</si>
  <si>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</si>
  <si>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</si>
  <si>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</si>
  <si>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</si>
  <si>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</si>
  <si>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</si>
  <si>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</si>
  <si>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</si>
  <si>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</si>
  <si>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</si>
  <si>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</si>
  <si>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</si>
  <si>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</si>
  <si>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</si>
  <si>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</si>
  <si>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</si>
  <si>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</si>
  <si>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</si>
  <si>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</si>
  <si>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</si>
  <si>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</si>
  <si>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</si>
  <si>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</si>
  <si>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</si>
  <si>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</si>
  <si>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</si>
  <si>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</si>
  <si>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</si>
  <si>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</si>
  <si>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</si>
  <si>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</si>
  <si>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</si>
  <si>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</si>
  <si>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</si>
  <si>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</si>
  <si>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</si>
  <si>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</si>
  <si>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</si>
  <si>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</si>
  <si>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</si>
  <si>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</si>
  <si>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</si>
  <si>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</si>
  <si>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</si>
  <si>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</si>
  <si>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</si>
  <si>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</si>
  <si>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</si>
  <si>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</si>
  <si>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</si>
  <si>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</si>
  <si>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</si>
  <si>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</si>
  <si>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</si>
  <si>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</si>
  <si>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</si>
  <si>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</si>
  <si>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</si>
  <si>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</si>
  <si>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</si>
  <si>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</si>
  <si>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</si>
  <si>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</si>
  <si>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</si>
  <si>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</si>
  <si>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</si>
  <si>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</si>
  <si>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</si>
  <si>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</si>
  <si>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</si>
  <si>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</si>
  <si>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</si>
  <si>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</si>
  <si>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</si>
  <si>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</si>
  <si>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</si>
  <si>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</si>
  <si>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</si>
  <si>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</si>
  <si>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</si>
  <si>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</si>
  <si>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</si>
  <si>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</si>
  <si>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</si>
  <si>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</si>
  <si>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</si>
  <si>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</si>
  <si>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</si>
  <si>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</si>
  <si>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</si>
  <si>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</si>
  <si>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</si>
  <si>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</si>
  <si>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</si>
  <si>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</si>
  <si>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</si>
  <si>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</si>
  <si>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</si>
  <si>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</si>
  <si>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</si>
  <si>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</si>
  <si>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</si>
  <si>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</si>
  <si>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</si>
  <si>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</si>
  <si>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</si>
  <si>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</si>
  <si>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</si>
  <si>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</si>
  <si>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</si>
  <si>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</si>
  <si>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</si>
  <si>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</si>
  <si>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</si>
  <si>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</si>
  <si>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</si>
  <si>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</si>
  <si>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</si>
  <si>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</si>
  <si>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</si>
  <si>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</si>
  <si>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</si>
  <si>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</si>
  <si>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</si>
  <si>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</si>
  <si>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</si>
  <si>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</si>
  <si>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</si>
  <si>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</si>
  <si>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</si>
  <si>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</si>
  <si>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</si>
  <si>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</si>
  <si>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</si>
  <si>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</si>
  <si>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</si>
  <si>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</si>
  <si>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</si>
  <si>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</si>
  <si>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</si>
  <si>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</si>
  <si>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</si>
  <si>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</si>
  <si>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</si>
  <si>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</si>
  <si>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</si>
  <si>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</si>
  <si>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</si>
  <si>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</si>
  <si>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</si>
  <si>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</si>
  <si>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</si>
  <si>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</si>
  <si>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</si>
  <si>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</si>
  <si>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</si>
  <si>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</si>
  <si>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</si>
  <si>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</si>
  <si>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</si>
  <si>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</si>
  <si>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</si>
  <si>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</si>
  <si>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</si>
  <si>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</si>
  <si>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</si>
  <si>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</si>
  <si>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</si>
  <si>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</si>
  <si>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</si>
  <si>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</si>
  <si>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</si>
  <si>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</si>
  <si>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</si>
  <si>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</si>
  <si>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</si>
  <si>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</si>
  <si>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</si>
  <si>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</si>
  <si>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</si>
  <si>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</si>
  <si>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</si>
  <si>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</si>
  <si>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</si>
  <si>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</si>
  <si>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</si>
  <si>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</si>
  <si>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</si>
  <si>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</si>
  <si>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</si>
  <si>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</si>
  <si>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</si>
  <si>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</si>
  <si>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</si>
  <si>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</si>
  <si>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</si>
  <si>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</si>
  <si>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</si>
  <si>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</si>
  <si>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</si>
  <si>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</si>
  <si>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</si>
  <si>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</si>
  <si>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</si>
  <si>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</si>
  <si>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</si>
  <si>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</si>
  <si>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</si>
  <si>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</si>
  <si>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</si>
  <si>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</si>
  <si>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</si>
  <si>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</si>
  <si>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</si>
  <si>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</si>
  <si>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</si>
  <si>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</si>
  <si>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</si>
  <si>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</si>
  <si>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</si>
  <si>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</si>
  <si>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</si>
  <si>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</si>
  <si>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</si>
  <si>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</si>
  <si>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</si>
  <si>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</si>
  <si>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</si>
  <si>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</si>
  <si>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</si>
  <si>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</si>
  <si>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</si>
  <si>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</si>
  <si>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</si>
  <si>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</si>
  <si>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</si>
  <si>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</si>
  <si>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</si>
  <si>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</si>
  <si>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</si>
  <si>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</si>
  <si>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</si>
  <si>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</si>
  <si>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</si>
  <si>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</si>
  <si>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</si>
  <si>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</si>
  <si>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</si>
  <si>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</si>
  <si>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</si>
  <si>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</si>
  <si>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</si>
  <si>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</si>
  <si>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</si>
  <si>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</si>
  <si>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</si>
  <si>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</si>
  <si>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</si>
  <si>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</si>
  <si>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</si>
  <si>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</si>
  <si>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</si>
  <si>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</si>
  <si>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</si>
  <si>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</si>
  <si>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</si>
  <si>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</si>
  <si>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</si>
  <si>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</si>
  <si>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</si>
  <si>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</si>
  <si>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</si>
  <si>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</si>
  <si>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</si>
  <si>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</si>
  <si>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</si>
  <si>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</si>
  <si>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</si>
  <si>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</si>
  <si>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</si>
  <si>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</si>
  <si>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</si>
  <si>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</si>
  <si>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</si>
  <si>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</si>
  <si>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</si>
  <si>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</si>
  <si>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</si>
  <si>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</si>
  <si>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</si>
  <si>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</si>
  <si>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</si>
  <si>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</si>
  <si>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</si>
  <si>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</si>
  <si>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</si>
  <si>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</si>
  <si>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</si>
  <si>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</si>
  <si>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</si>
  <si>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</si>
  <si>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</si>
  <si>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</si>
  <si>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</si>
  <si>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</si>
  <si>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</si>
  <si>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</si>
  <si>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</si>
  <si>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</si>
  <si>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</si>
  <si>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</si>
  <si>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</si>
  <si>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</si>
  <si>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</si>
  <si>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</si>
  <si>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</si>
  <si>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</si>
  <si>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</si>
  <si>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</si>
  <si>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</si>
  <si>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</si>
  <si>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</si>
  <si>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</si>
  <si>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</si>
  <si>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</si>
  <si>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</si>
  <si>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</si>
  <si>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</si>
  <si>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</si>
  <si>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</si>
  <si>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</si>
  <si>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</si>
  <si>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</si>
  <si>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</si>
  <si>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</si>
  <si>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</si>
  <si>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</si>
  <si>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</si>
  <si>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</si>
  <si>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</si>
  <si>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</si>
  <si>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</si>
  <si>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</si>
  <si>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</si>
  <si>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</si>
  <si>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</si>
  <si>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</si>
  <si>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</si>
  <si>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</si>
  <si>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</si>
  <si>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</si>
  <si>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</si>
  <si>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</si>
  <si>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</si>
  <si>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</si>
  <si>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</si>
  <si>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</si>
  <si>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</si>
  <si>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</si>
  <si>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</si>
  <si>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</si>
  <si>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</si>
  <si>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</si>
  <si>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</si>
  <si>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</si>
  <si>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</si>
  <si>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</si>
  <si>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</si>
  <si>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</si>
  <si>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</si>
  <si>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</si>
  <si>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</si>
  <si>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</si>
  <si>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</si>
  <si>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</si>
  <si>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</si>
  <si>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</si>
  <si>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</si>
  <si>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</si>
  <si>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</si>
  <si>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</si>
  <si>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</si>
  <si>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</si>
  <si>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</si>
  <si>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</si>
  <si>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</si>
  <si>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</si>
  <si>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</si>
  <si>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</si>
  <si>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</si>
  <si>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</si>
  <si>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</si>
  <si>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</si>
  <si>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</si>
  <si>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</si>
  <si>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</si>
  <si>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</si>
  <si>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</si>
  <si>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</si>
  <si>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</si>
  <si>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</si>
  <si>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</si>
  <si>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</si>
  <si>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</si>
  <si>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</si>
  <si>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</si>
  <si>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</si>
  <si>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</si>
  <si>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</si>
  <si>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</si>
  <si>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</si>
  <si>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</si>
  <si>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</si>
  <si>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</si>
  <si>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</si>
  <si>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</si>
  <si>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</si>
  <si>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</si>
  <si>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</si>
  <si>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</si>
  <si>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</si>
  <si>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</si>
  <si>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</si>
  <si>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</si>
  <si>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</si>
  <si>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</si>
  <si>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</si>
  <si>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</si>
  <si>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</si>
  <si>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</si>
  <si>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</si>
  <si>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</si>
  <si>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</si>
  <si>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</si>
  <si>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</si>
  <si>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</si>
  <si>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</si>
  <si>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</si>
  <si>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</si>
  <si>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</si>
  <si>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</si>
  <si>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</si>
  <si>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</si>
  <si>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</si>
  <si>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</si>
  <si>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</si>
  <si>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</si>
  <si>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</si>
  <si>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</si>
  <si>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</si>
  <si>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</si>
  <si>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</si>
  <si>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</si>
  <si>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</si>
  <si>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</si>
  <si>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</si>
  <si>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</si>
  <si>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</si>
  <si>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</si>
  <si>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</si>
  <si>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</si>
  <si>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</si>
  <si>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</si>
  <si>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</si>
  <si>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</si>
  <si>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</si>
  <si>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</si>
  <si>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</si>
  <si>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</si>
  <si>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</si>
  <si>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</si>
  <si>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</si>
  <si>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</si>
  <si>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</si>
  <si>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</si>
  <si>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</si>
  <si>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</si>
  <si>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</si>
  <si>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</si>
  <si>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</si>
  <si>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</si>
  <si>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</si>
  <si>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</si>
  <si>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</si>
  <si>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</si>
  <si>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</si>
  <si>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</si>
  <si>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</si>
  <si>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</si>
  <si>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</si>
  <si>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</si>
  <si>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</si>
  <si>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</si>
  <si>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</si>
  <si>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</si>
  <si>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</si>
  <si>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</si>
  <si>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</si>
  <si>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</si>
  <si>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</si>
  <si>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</si>
  <si>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</si>
  <si>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</si>
  <si>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</si>
  <si>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</si>
  <si>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</si>
  <si>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</si>
  <si>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</si>
  <si>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</si>
  <si>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</si>
  <si>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</si>
  <si>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</si>
  <si>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</si>
  <si>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</si>
  <si>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</si>
  <si>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</si>
  <si>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</si>
  <si>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</si>
  <si>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</si>
  <si>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</si>
  <si>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</si>
  <si>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</si>
  <si>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</si>
  <si>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</si>
  <si>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</si>
  <si>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</si>
  <si>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</si>
  <si>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</si>
  <si>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</si>
  <si>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</si>
  <si>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</si>
  <si>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</si>
  <si>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</si>
  <si>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</si>
  <si>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</si>
  <si>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</si>
  <si>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</si>
  <si>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</si>
  <si>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</si>
  <si>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</si>
  <si>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</si>
  <si>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</si>
  <si>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</si>
  <si>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</si>
  <si>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</si>
  <si>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</si>
  <si>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</si>
  <si>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</si>
  <si>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</si>
  <si>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</si>
  <si>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</si>
  <si>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</si>
  <si>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</si>
  <si>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</si>
  <si>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</si>
  <si>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</si>
  <si>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</si>
  <si>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</si>
  <si>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</si>
  <si>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</si>
  <si>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</si>
  <si>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</si>
  <si>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</si>
  <si>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</si>
  <si>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</si>
  <si>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</si>
  <si>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</si>
  <si>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</si>
  <si>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</si>
  <si>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</si>
  <si>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</si>
  <si>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</si>
  <si>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</si>
  <si>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</si>
  <si>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</si>
  <si>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</si>
  <si>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</si>
  <si>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</si>
  <si>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</si>
  <si>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</si>
  <si>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</si>
  <si>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</si>
  <si>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</si>
  <si>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</si>
  <si>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</si>
  <si>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</si>
  <si>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</si>
  <si>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</si>
  <si>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</si>
  <si>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</si>
  <si>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</si>
  <si>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</si>
  <si>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</si>
  <si>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</si>
  <si>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</si>
  <si>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</si>
  <si>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</si>
  <si>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</si>
  <si>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</si>
  <si>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</si>
  <si>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</si>
  <si>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</si>
  <si>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</si>
  <si>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</si>
  <si>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</si>
  <si>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</si>
  <si>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</si>
  <si>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</si>
  <si>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</si>
  <si>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</si>
  <si>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</si>
  <si>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</si>
  <si>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</si>
  <si>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</si>
  <si>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</si>
  <si>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</si>
  <si>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</si>
  <si>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</si>
  <si>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</si>
  <si>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</si>
  <si>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</si>
  <si>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</si>
  <si>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</si>
  <si>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</si>
  <si>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</si>
  <si>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</si>
  <si>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</si>
  <si>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</si>
  <si>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</si>
  <si>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</si>
  <si>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</si>
  <si>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</si>
  <si>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</si>
  <si>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</si>
  <si>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</si>
  <si>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</si>
  <si>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</si>
  <si>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</si>
  <si>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</si>
  <si>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</si>
  <si>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</si>
  <si>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</si>
  <si>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</si>
  <si>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</si>
  <si>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</si>
  <si>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</si>
  <si>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</si>
  <si>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</si>
  <si>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</si>
  <si>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</si>
  <si>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</si>
  <si>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</si>
  <si>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</si>
  <si>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</si>
  <si>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</si>
  <si>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</si>
  <si>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</si>
  <si>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</si>
  <si>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</si>
  <si>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</si>
  <si>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</si>
  <si>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</si>
  <si>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</si>
  <si>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</si>
  <si>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</si>
  <si>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</si>
  <si>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</si>
  <si>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</si>
  <si>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</si>
  <si>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</si>
  <si>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</si>
  <si>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</si>
  <si>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</si>
  <si>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</si>
  <si>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</si>
  <si>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</si>
  <si>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</si>
  <si>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</si>
  <si>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</si>
  <si>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</si>
  <si>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</si>
  <si>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</si>
  <si>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</si>
  <si>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</si>
  <si>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</si>
  <si>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</si>
  <si>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</si>
  <si>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</si>
  <si>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</si>
  <si>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</si>
  <si>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</si>
  <si>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</si>
  <si>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</si>
  <si>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</si>
  <si>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</si>
  <si>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</si>
  <si>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</si>
  <si>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</si>
  <si>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</si>
  <si>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</si>
  <si>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</si>
  <si>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</si>
  <si>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</si>
  <si>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</si>
  <si>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</si>
  <si>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</si>
  <si>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</si>
  <si>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</si>
  <si>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</si>
  <si>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</si>
  <si>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</si>
  <si>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</si>
  <si>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</si>
  <si>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</si>
  <si>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</si>
  <si>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</si>
  <si>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</si>
  <si>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</si>
  <si>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</si>
  <si>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</si>
  <si>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</si>
  <si>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</si>
  <si>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</si>
  <si>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</si>
  <si>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</si>
  <si>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</si>
  <si>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</si>
  <si>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</si>
  <si>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</si>
  <si>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</si>
  <si>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</si>
  <si>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</si>
  <si>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</si>
  <si>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</si>
  <si>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</si>
  <si>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</si>
  <si>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</si>
  <si>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</si>
  <si>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</si>
  <si>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</si>
  <si>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</si>
  <si>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</si>
  <si>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</si>
  <si>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</si>
  <si>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</si>
  <si>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</si>
  <si>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</si>
  <si>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</si>
  <si>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</si>
  <si>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</si>
  <si>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</si>
  <si>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</si>
  <si>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</si>
  <si>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</si>
  <si>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</si>
  <si>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</si>
  <si>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</si>
  <si>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</si>
  <si>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</si>
  <si>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</si>
  <si>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</si>
  <si>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</si>
  <si>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</si>
  <si>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</si>
  <si>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</si>
  <si>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</si>
  <si>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</si>
  <si>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</si>
  <si>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</si>
  <si>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</si>
  <si>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</si>
  <si>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</si>
  <si>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</si>
  <si>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</si>
  <si>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</si>
  <si>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</si>
  <si>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</si>
  <si>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</si>
  <si>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</si>
  <si>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</si>
  <si>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</si>
  <si>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</si>
  <si>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</si>
  <si>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</si>
  <si>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</si>
  <si>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</si>
  <si>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</si>
  <si>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</si>
  <si>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</si>
  <si>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</si>
  <si>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</si>
  <si>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</si>
  <si>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</si>
  <si>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</si>
  <si>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</si>
  <si>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</si>
  <si>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</si>
  <si>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</si>
  <si>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</si>
  <si>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</si>
  <si>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</si>
  <si>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</si>
  <si>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</si>
  <si>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</si>
  <si>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</si>
  <si>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</si>
  <si>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</si>
  <si>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</si>
  <si>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</si>
  <si>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</si>
  <si>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</si>
  <si>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</si>
  <si>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</si>
  <si>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д.и.н. Огнян Донев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</si>
</sst>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48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/>
    <cellStyle name="Currency 2 2" xfId="21"/>
    <cellStyle name="Currency 2 3" xfId="20"/>
    <cellStyle name="Currency 3" xfId="17"/>
    <cellStyle name="Euro" xfId="2"/>
    <cellStyle name="Euro 2" xfId="18"/>
    <cellStyle name="Euro 2 2" xfId="22"/>
    <cellStyle name="Hyperlink" xfId="3" builtinId="8"/>
    <cellStyle name="Normal" xfId="0" builtinId="0"/>
    <cellStyle name="Normal 16" xfId="4"/>
    <cellStyle name="Normal 16 2" xfId="24"/>
    <cellStyle name="Normal 16 3" xfId="23"/>
    <cellStyle name="Normal 2" xfId="5"/>
    <cellStyle name="Normal 2 2" xfId="26"/>
    <cellStyle name="Normal 2 3" xfId="2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Баланс 2" xfId="19"/>
    <cellStyle name="Normal_Баланс 3" xfId="27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opLeftCell="A13" zoomScaleNormal="100" zoomScaleSheetLayoutView="85" workbookViewId="0">
      <selection activeCell="B12" sqref="B12"/>
    </sheetView>
  </sheetViews>
  <sheetFormatPr defaultColWidth="9.1015625" defaultRowHeight="15.3"/>
  <cols>
    <col min="1" max="1" width="30.68359375" style="645" customWidth="1"/>
    <col min="2" max="2" width="65.68359375" style="645" customWidth="1"/>
    <col min="3" max="26" width="11.41796875" style="645" customWidth="1"/>
    <col min="27" max="27" width="9.89453125" style="645" bestFit="1" customWidth="1"/>
    <col min="28" max="256" width="11.41796875" style="645" customWidth="1"/>
    <col min="257" max="16384" width="9.1015625" style="645"/>
  </cols>
  <sheetData>
    <row r="1" spans="1:27">
      <c r="A1" s="1" t="s">
        <v>937</v>
      </c>
      <c r="B1" s="2"/>
      <c r="Z1" s="656">
        <v>1</v>
      </c>
      <c r="AA1" s="657">
        <f>IF(ISBLANK(_endDate),"",_endDate)</f>
        <v>43830</v>
      </c>
    </row>
    <row r="2" spans="1:27">
      <c r="A2" s="644" t="s">
        <v>938</v>
      </c>
      <c r="B2" s="639"/>
      <c r="Z2" s="656">
        <v>2</v>
      </c>
      <c r="AA2" s="657">
        <f>IF(ISBLANK(_pdeReportingDate),"",_pdeReportingDate)</f>
        <v>43951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>
      <c r="A4" s="638" t="s">
        <v>961</v>
      </c>
      <c r="B4" s="639"/>
    </row>
    <row r="5" spans="1:27" ht="45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1">
        <v>43466</v>
      </c>
    </row>
    <row r="10" spans="1:27">
      <c r="A10" s="7" t="s">
        <v>2</v>
      </c>
      <c r="B10" s="661">
        <v>43830</v>
      </c>
    </row>
    <row r="11" spans="1:27">
      <c r="A11" s="7" t="s">
        <v>950</v>
      </c>
      <c r="B11" s="661">
        <v>43951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>
      <c r="A16" s="7" t="s">
        <v>3</v>
      </c>
      <c r="B16" s="538" t="s">
        <v>962</v>
      </c>
    </row>
    <row r="17" spans="1:2">
      <c r="A17" s="7" t="s">
        <v>894</v>
      </c>
      <c r="B17" s="538" t="s">
        <v>973</v>
      </c>
    </row>
    <row r="18" spans="1:2">
      <c r="A18" s="7" t="s">
        <v>893</v>
      </c>
      <c r="B18" s="538" t="s">
        <v>968</v>
      </c>
    </row>
    <row r="19" spans="1:2">
      <c r="A19" s="7" t="s">
        <v>4</v>
      </c>
      <c r="B19" s="538" t="s">
        <v>971</v>
      </c>
    </row>
    <row r="20" spans="1:2">
      <c r="A20" s="7" t="s">
        <v>5</v>
      </c>
      <c r="B20" s="538" t="s">
        <v>972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>
      <c r="A25" s="7" t="s">
        <v>895</v>
      </c>
      <c r="B25" s="648"/>
    </row>
    <row r="26" spans="1:2">
      <c r="A26" s="10" t="s">
        <v>943</v>
      </c>
      <c r="B26" s="658" t="s">
        <v>969</v>
      </c>
    </row>
    <row r="27" spans="1:2">
      <c r="A27" s="10" t="s">
        <v>944</v>
      </c>
      <c r="B27" s="539" t="s">
        <v>970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1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0" zoomScale="85" zoomScaleNormal="85" zoomScaleSheetLayoutView="85" workbookViewId="0">
      <selection activeCell="F13" sqref="F13"/>
    </sheetView>
  </sheetViews>
  <sheetFormatPr defaultColWidth="10.68359375" defaultRowHeight="15.3"/>
  <cols>
    <col min="1" max="1" width="51.89453125" style="38" customWidth="1"/>
    <col min="2" max="2" width="10.68359375" style="102" customWidth="1"/>
    <col min="3" max="7" width="13.68359375" style="38" customWidth="1"/>
    <col min="8" max="9" width="14.68359375" style="38" customWidth="1"/>
    <col min="10" max="20" width="10.68359375" style="38"/>
    <col min="21" max="21" width="13.41796875" style="38" bestFit="1" customWidth="1"/>
    <col min="22" max="16384" width="10.6835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5.6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5.6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108500</v>
      </c>
      <c r="D13" s="432"/>
      <c r="E13" s="432"/>
      <c r="F13" s="432">
        <v>1483</v>
      </c>
      <c r="G13" s="432">
        <v>104</v>
      </c>
      <c r="H13" s="432"/>
      <c r="I13" s="433">
        <f>F13+G13-H13</f>
        <v>1587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5.6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1483</v>
      </c>
      <c r="G18" s="439">
        <f t="shared" si="1"/>
        <v>104</v>
      </c>
      <c r="H18" s="439">
        <f t="shared" si="1"/>
        <v>0</v>
      </c>
      <c r="I18" s="440">
        <f t="shared" si="0"/>
        <v>1587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5.6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43951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701"/>
      <c r="C32" s="701"/>
      <c r="D32" s="701"/>
      <c r="E32" s="701"/>
      <c r="F32" s="701"/>
      <c r="G32" s="115"/>
      <c r="H32" s="115"/>
      <c r="I32" s="115"/>
    </row>
    <row r="33" spans="1:9" s="107" customFormat="1">
      <c r="A33" s="652" t="s">
        <v>8</v>
      </c>
      <c r="B33" s="702" t="str">
        <f>authorName</f>
        <v>Людмила Бонджова</v>
      </c>
      <c r="C33" s="702"/>
      <c r="D33" s="702"/>
      <c r="E33" s="702"/>
      <c r="F33" s="702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47"/>
      <c r="C36" s="747"/>
      <c r="D36" s="747"/>
      <c r="E36" s="747"/>
      <c r="F36" s="747"/>
      <c r="G36" s="747"/>
      <c r="H36" s="747"/>
      <c r="I36" s="747"/>
    </row>
    <row r="37" spans="1:9" s="107" customFormat="1" ht="15.75" customHeight="1">
      <c r="A37" s="670"/>
      <c r="B37" s="704" t="str">
        <f>+Начална!B17</f>
        <v>д.и.н. Огнян Донев</v>
      </c>
      <c r="C37" s="700"/>
      <c r="D37" s="700"/>
      <c r="E37" s="700"/>
      <c r="F37" s="700"/>
      <c r="G37" s="700"/>
      <c r="H37" s="700"/>
      <c r="I37" s="700"/>
    </row>
    <row r="38" spans="1:9" s="107" customFormat="1" ht="15.75" customHeight="1">
      <c r="A38" s="670"/>
      <c r="B38" s="700"/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70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70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>
      <c r="A41" s="670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70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70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3" sqref="F13: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07871067-5294-4FEE-88CE-4A4A5BC97EF0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F2D4D9F9-DE61-45A3-92A2-4E78F2B34B7F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abSelected="1" topLeftCell="B10" zoomScale="85" zoomScaleNormal="85" zoomScaleSheetLayoutView="85" workbookViewId="0">
      <selection activeCell="F17" sqref="F17"/>
    </sheetView>
  </sheetViews>
  <sheetFormatPr defaultColWidth="10.68359375" defaultRowHeight="15.3"/>
  <cols>
    <col min="1" max="1" width="51.89453125" style="38" customWidth="1"/>
    <col min="2" max="2" width="10.68359375" style="102" customWidth="1"/>
    <col min="3" max="7" width="13.68359375" style="38" customWidth="1"/>
    <col min="8" max="9" width="14.68359375" style="38" customWidth="1"/>
    <col min="10" max="20" width="10.68359375" style="38"/>
    <col min="21" max="21" width="13.41796875" style="38" bestFit="1" customWidth="1"/>
    <col min="22" max="16384" width="10.6835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5.6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5.6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366</v>
      </c>
      <c r="G17" s="432"/>
      <c r="H17" s="432"/>
      <c r="I17" s="433">
        <f t="shared" si="0"/>
        <v>366</v>
      </c>
    </row>
    <row r="18" spans="1:16" s="107" customFormat="1" ht="15.6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366</v>
      </c>
      <c r="G18" s="439">
        <f t="shared" si="1"/>
        <v>0</v>
      </c>
      <c r="H18" s="439">
        <f t="shared" si="1"/>
        <v>0</v>
      </c>
      <c r="I18" s="440">
        <f t="shared" si="0"/>
        <v>366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5.6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43951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701"/>
      <c r="C32" s="701"/>
      <c r="D32" s="701"/>
      <c r="E32" s="701"/>
      <c r="F32" s="701"/>
      <c r="G32" s="115"/>
      <c r="H32" s="115"/>
      <c r="I32" s="115"/>
    </row>
    <row r="33" spans="1:9" s="107" customFormat="1">
      <c r="A33" s="652" t="s">
        <v>8</v>
      </c>
      <c r="B33" s="702" t="str">
        <f>authorName</f>
        <v>Людмила Бонджова</v>
      </c>
      <c r="C33" s="702"/>
      <c r="D33" s="702"/>
      <c r="E33" s="702"/>
      <c r="F33" s="702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47"/>
      <c r="C36" s="747"/>
      <c r="D36" s="747"/>
      <c r="E36" s="747"/>
      <c r="F36" s="747"/>
      <c r="G36" s="747"/>
      <c r="H36" s="747"/>
      <c r="I36" s="747"/>
    </row>
    <row r="37" spans="1:9" s="107" customFormat="1" ht="15.75" customHeight="1">
      <c r="A37" s="670"/>
      <c r="B37" s="704" t="str">
        <f>+Начална!B17</f>
        <v>д.и.н. Огнян Донев</v>
      </c>
      <c r="C37" s="700"/>
      <c r="D37" s="700"/>
      <c r="E37" s="700"/>
      <c r="F37" s="700"/>
      <c r="G37" s="700"/>
      <c r="H37" s="700"/>
      <c r="I37" s="700"/>
    </row>
    <row r="38" spans="1:9" s="107" customFormat="1" ht="15.75" customHeight="1">
      <c r="A38" s="670"/>
      <c r="B38" s="700"/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70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70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>
      <c r="A41" s="670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70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70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07871067-5294-4FEE-88CE-4A4A5BC97EF0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F2D4D9F9-DE61-45A3-92A2-4E78F2B34B7F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0" zoomScale="85" zoomScaleNormal="85" zoomScaleSheetLayoutView="85" workbookViewId="0">
      <selection activeCell="B35" sqref="B35:I35"/>
    </sheetView>
  </sheetViews>
  <sheetFormatPr defaultColWidth="10.68359375" defaultRowHeight="15.3"/>
  <cols>
    <col min="1" max="1" width="51.89453125" style="38" customWidth="1"/>
    <col min="2" max="2" width="10.68359375" style="102" customWidth="1"/>
    <col min="3" max="7" width="13.68359375" style="38" customWidth="1"/>
    <col min="8" max="9" width="14.68359375" style="38" customWidth="1"/>
    <col min="10" max="20" width="10.68359375" style="38"/>
    <col min="21" max="21" width="13.41796875" style="38" bestFit="1" customWidth="1"/>
    <col min="22" max="16384" width="10.6835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5.6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5.6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35930</v>
      </c>
      <c r="D13" s="432"/>
      <c r="E13" s="432"/>
      <c r="F13" s="432">
        <v>83</v>
      </c>
      <c r="G13" s="432"/>
      <c r="H13" s="432">
        <v>39</v>
      </c>
      <c r="I13" s="433">
        <f>F13+G13-H13</f>
        <v>44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5.6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83</v>
      </c>
      <c r="G18" s="439">
        <f t="shared" si="1"/>
        <v>0</v>
      </c>
      <c r="H18" s="439">
        <f t="shared" si="1"/>
        <v>39</v>
      </c>
      <c r="I18" s="440">
        <f t="shared" si="0"/>
        <v>44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5.6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43951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701"/>
      <c r="C32" s="701"/>
      <c r="D32" s="701"/>
      <c r="E32" s="701"/>
      <c r="F32" s="701"/>
      <c r="G32" s="115"/>
      <c r="H32" s="115"/>
      <c r="I32" s="115"/>
    </row>
    <row r="33" spans="1:9" s="107" customFormat="1">
      <c r="A33" s="652" t="s">
        <v>8</v>
      </c>
      <c r="B33" s="702" t="str">
        <f>authorName</f>
        <v>Людмила Бонджова</v>
      </c>
      <c r="C33" s="702"/>
      <c r="D33" s="702"/>
      <c r="E33" s="702"/>
      <c r="F33" s="702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47"/>
      <c r="C36" s="747"/>
      <c r="D36" s="747"/>
      <c r="E36" s="747"/>
      <c r="F36" s="747"/>
      <c r="G36" s="747"/>
      <c r="H36" s="747"/>
      <c r="I36" s="747"/>
    </row>
    <row r="37" spans="1:9" s="107" customFormat="1" ht="15.75" customHeight="1">
      <c r="A37" s="670"/>
      <c r="B37" s="704" t="str">
        <f>+Начална!B17</f>
        <v>д.и.н. Огнян Донев</v>
      </c>
      <c r="C37" s="700"/>
      <c r="D37" s="700"/>
      <c r="E37" s="700"/>
      <c r="F37" s="700"/>
      <c r="G37" s="700"/>
      <c r="H37" s="700"/>
      <c r="I37" s="700"/>
    </row>
    <row r="38" spans="1:9" s="107" customFormat="1" ht="15.75" customHeight="1">
      <c r="A38" s="670"/>
      <c r="B38" s="700"/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70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70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>
      <c r="A41" s="670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70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70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F13" sqref="F13: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07871067-5294-4FEE-88CE-4A4A5BC97EF0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9453125" defaultRowHeight="14.4"/>
  <cols>
    <col min="1" max="1" width="11.41796875" customWidth="1"/>
    <col min="2" max="2" width="52" customWidth="1"/>
    <col min="3" max="3" width="20.89453125" customWidth="1"/>
    <col min="4" max="4" width="23.68359375" customWidth="1"/>
    <col min="5" max="5" width="19.3125" customWidth="1"/>
    <col min="6" max="6" width="52.3125" customWidth="1"/>
    <col min="7" max="7" width="14.41796875" customWidth="1"/>
  </cols>
  <sheetData>
    <row r="1" spans="1:10" ht="20.100000000000001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5.3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5.3">
      <c r="A3" s="622" t="str">
        <f>CONCATENATE("за периода от ",TEXT(startDate,"dd.mm.yyyy г.")," до ",TEXT(endDate,"dd.mm.yyyy г."))</f>
        <v>за периода от 01.01.2019 г. до 31.12.2019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1175272</v>
      </c>
      <c r="D6" s="634">
        <f t="shared" ref="D6:D15" si="0">C6-E6</f>
        <v>0</v>
      </c>
      <c r="E6" s="633">
        <f>'1-Баланс'!G95</f>
        <v>1175272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556431</v>
      </c>
      <c r="D7" s="634">
        <f t="shared" si="0"/>
        <v>455775</v>
      </c>
      <c r="E7" s="633">
        <f>'1-Баланс'!G18</f>
        <v>100656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86994</v>
      </c>
      <c r="D8" s="634">
        <f t="shared" si="0"/>
        <v>0</v>
      </c>
      <c r="E8" s="633">
        <f>ABS('2-Отчет за доходите'!C44)-ABS('2-Отчет за доходите'!G44)</f>
        <v>86994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25582</v>
      </c>
      <c r="D9" s="634">
        <f t="shared" si="0"/>
        <v>1453</v>
      </c>
      <c r="E9" s="633">
        <f>'3-Отчет за паричния поток'!C45</f>
        <v>24129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27513</v>
      </c>
      <c r="D10" s="634">
        <f t="shared" si="0"/>
        <v>151</v>
      </c>
      <c r="E10" s="633">
        <f>'3-Отчет за паричния поток'!C46</f>
        <v>27362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556431</v>
      </c>
      <c r="D11" s="634">
        <f t="shared" si="0"/>
        <v>0</v>
      </c>
      <c r="E11" s="633">
        <f>'4-Отчет за собствения капитал'!L34</f>
        <v>556431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0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62985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10079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9453125" defaultRowHeight="14.4"/>
  <cols>
    <col min="1" max="1" width="4.3125" customWidth="1"/>
    <col min="2" max="2" width="31.1015625" bestFit="1" customWidth="1"/>
    <col min="3" max="3" width="40" bestFit="1" customWidth="1"/>
    <col min="4" max="5" width="18.4179687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0.6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6.7272105824000936E-2</v>
      </c>
      <c r="E3" s="605"/>
    </row>
    <row r="4" spans="1:5" ht="30.6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0.15634283496066897</v>
      </c>
    </row>
    <row r="5" spans="1:5" ht="30.6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0.14511092577147622</v>
      </c>
    </row>
    <row r="6" spans="1:5" ht="30.6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7.4020311893757365E-2</v>
      </c>
    </row>
    <row r="7" spans="1:5" ht="24" customHeight="1">
      <c r="A7" s="604" t="s">
        <v>866</v>
      </c>
      <c r="B7" s="602"/>
      <c r="C7" s="602"/>
      <c r="D7" s="603"/>
    </row>
    <row r="8" spans="1:5" ht="30.6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1.0724105566275401</v>
      </c>
    </row>
    <row r="9" spans="1:5" ht="24" customHeight="1">
      <c r="A9" s="604" t="s">
        <v>869</v>
      </c>
      <c r="B9" s="602"/>
      <c r="C9" s="602"/>
      <c r="D9" s="603"/>
    </row>
    <row r="10" spans="1:5" ht="30.6">
      <c r="A10" s="552">
        <v>6</v>
      </c>
      <c r="B10" s="550" t="s">
        <v>870</v>
      </c>
      <c r="C10" s="551" t="s">
        <v>871</v>
      </c>
      <c r="D10" s="600">
        <f>'1-Баланс'!C94/'1-Баланс'!G79</f>
        <v>1.1343822564517863</v>
      </c>
    </row>
    <row r="11" spans="1:5" ht="61.2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0.65447100724715523</v>
      </c>
    </row>
    <row r="12" spans="1:5" ht="45.9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5.683893465991257E-2</v>
      </c>
    </row>
    <row r="13" spans="1:5" ht="30.6">
      <c r="A13" s="552">
        <v>9</v>
      </c>
      <c r="B13" s="550" t="s">
        <v>874</v>
      </c>
      <c r="C13" s="551" t="s">
        <v>875</v>
      </c>
      <c r="D13" s="600">
        <f>'1-Баланс'!C92/'1-Баланс'!G79</f>
        <v>5.683893465991257E-2</v>
      </c>
    </row>
    <row r="14" spans="1:5" ht="24" customHeight="1">
      <c r="A14" s="604" t="s">
        <v>876</v>
      </c>
      <c r="B14" s="602"/>
      <c r="C14" s="602"/>
      <c r="D14" s="603"/>
    </row>
    <row r="15" spans="1:5" ht="30.6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1.9528831153925728</v>
      </c>
    </row>
    <row r="16" spans="1:5" ht="30.6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1.1003120979654071</v>
      </c>
    </row>
    <row r="17" spans="1:5" ht="24" customHeight="1">
      <c r="A17" s="604" t="s">
        <v>879</v>
      </c>
      <c r="B17" s="602"/>
      <c r="C17" s="602"/>
      <c r="D17" s="603"/>
    </row>
    <row r="18" spans="1:5" ht="30.6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0.17182855841602432</v>
      </c>
    </row>
    <row r="19" spans="1:5" ht="30.6">
      <c r="A19" s="552">
        <v>13</v>
      </c>
      <c r="B19" s="550" t="s">
        <v>907</v>
      </c>
      <c r="C19" s="551" t="s">
        <v>880</v>
      </c>
      <c r="D19" s="600">
        <f>D4/D5</f>
        <v>1.077402229566649</v>
      </c>
    </row>
    <row r="20" spans="1:5" ht="30.6">
      <c r="A20" s="552">
        <v>14</v>
      </c>
      <c r="B20" s="550" t="s">
        <v>881</v>
      </c>
      <c r="C20" s="551" t="s">
        <v>882</v>
      </c>
      <c r="D20" s="600">
        <f>D6/D5</f>
        <v>0.51009468446453254</v>
      </c>
    </row>
    <row r="21" spans="1:5" ht="15.3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99869</v>
      </c>
      <c r="E21" s="655"/>
    </row>
    <row r="22" spans="1:5" ht="45.9">
      <c r="A22" s="552">
        <v>16</v>
      </c>
      <c r="B22" s="550" t="s">
        <v>887</v>
      </c>
      <c r="C22" s="551" t="s">
        <v>888</v>
      </c>
      <c r="D22" s="606">
        <f>D21/'1-Баланс'!G37</f>
        <v>0.17948137325202945</v>
      </c>
    </row>
    <row r="23" spans="1:5" ht="30.6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0.10987628769925974</v>
      </c>
    </row>
    <row r="24" spans="1:5" ht="30.6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4.1668693917552284</v>
      </c>
    </row>
  </sheetData>
  <sheetProtection password="D554" sheet="1" objects="1" scenarios="1" insertRows="0"/>
  <customSheetViews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015625" defaultRowHeight="15.3"/>
  <cols>
    <col min="1" max="1" width="16.41796875" style="99" bestFit="1" customWidth="1"/>
    <col min="2" max="2" width="12.1015625" style="99" bestFit="1" customWidth="1"/>
    <col min="3" max="3" width="14.3125" style="99" customWidth="1"/>
    <col min="4" max="4" width="14.1015625" style="99" bestFit="1" customWidth="1"/>
    <col min="5" max="5" width="16.68359375" style="99" bestFit="1" customWidth="1"/>
    <col min="6" max="6" width="53.1015625" style="99" customWidth="1"/>
    <col min="7" max="7" width="16" style="99" bestFit="1" customWidth="1"/>
    <col min="8" max="8" width="15.68359375" style="99" customWidth="1"/>
    <col min="9" max="256" width="11.41796875" style="99" customWidth="1"/>
    <col min="257" max="16384" width="9.1015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43830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60639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43830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157582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43830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96693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43830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13757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43830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11140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43830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8266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43830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29807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43830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386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43830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378270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43830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10856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43830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355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43830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27258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43830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10555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43830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43830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5016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43830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42829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43830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15909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43830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43830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15909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43830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73064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43830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43830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43830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62985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43830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10079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43830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43830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43830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43830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43830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43830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43830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73064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43830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91794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43830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6539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43830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43830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4135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43830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102468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43830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43830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2421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43830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626172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43830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34580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43830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25751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43830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159730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43830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9812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43830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43830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43830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229873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43830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7112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43830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245743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43830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9917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43830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6144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43830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2176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43830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12590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43830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43830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5603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43830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289285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43830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43830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43830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43830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43830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43830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43830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43830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1831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43830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25531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43830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151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43830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43830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27513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43830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2429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43830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549100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43830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1175272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43830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43830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43830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43830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-34142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43830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43830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43830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100656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43830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43830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35822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43830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59297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43830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59297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43830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43830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43830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95119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43830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273662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43830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273662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43830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43830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43830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86994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43830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43830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360656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43830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556431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43830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19341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43830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2972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43830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56832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43830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43830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43830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43830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29882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43830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89686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43830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6626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43830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43830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8196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43830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10940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43830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115448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43830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274829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43830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16730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43830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146710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43830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7668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43830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43830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115627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43830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780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43830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12443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43830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2975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43830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7217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43830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45783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43830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43830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484052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43830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43830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43830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43830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484052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43830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1175272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43830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93234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43830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75239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43830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44004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43830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107612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43830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19475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43830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878504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43830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3479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43830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31718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43830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19375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43830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43830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1253265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43830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11456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43830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43830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43830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935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43830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12391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43830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1265656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43830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43753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43830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44660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43830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43830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1220996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43830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88413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43830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4054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43830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4054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43830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43830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43830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84359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43830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0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43830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86994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43830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1309409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43830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288526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43830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993061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43830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7625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43830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3954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43830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1293166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43830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842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43830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43830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5749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43830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188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43830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3955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43830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553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43830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4956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43830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15401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43830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1309409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43830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43830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43830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43830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1309409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43830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43830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43830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2635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43830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43830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1309409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43830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1215433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43830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-1143957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43830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43830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-120315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43830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-62089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43830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-8538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43830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43830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-7988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43830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225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43830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-1215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43830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-128444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43830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-40364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43830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1061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43830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-99296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43830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26810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43830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2662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43830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-8241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43830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12976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43830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190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43830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43830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43830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-104202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43830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655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43830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-805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43830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83069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43830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-33789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43830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-13095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43830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-1412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43830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-3495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43830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204751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43830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235879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43830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3233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43830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24129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43830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27362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43830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27362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43830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151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43830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101461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43830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43830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43830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43830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101461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43830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43830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43830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43830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43830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43830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43830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43830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43830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43830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43830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43830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43830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-805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43830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100656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43830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43830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43830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100656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43830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43830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43830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43830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43830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43830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43830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43830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43830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43830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43830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43830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43830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43830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43830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43830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43830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43830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43830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43830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43830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43830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43830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33031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43830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43830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43830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43830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33031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43830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43830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43830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43830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43830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43830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176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43830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176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43830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43830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-60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43830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43830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60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43830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43830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2675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43830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35822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43830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43830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43830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35822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43830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55967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43830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43830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43830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43830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55967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43830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43830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3330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43830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43830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3330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43830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43830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43830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43830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43830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43830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43830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43830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43830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43830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59297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43830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43830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43830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59297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43830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43830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43830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43830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43830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43830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43830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43830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43830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43830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43830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43830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43830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43830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43830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43830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43830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43830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43830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43830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43830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43830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43830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43830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43830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43830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43830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43830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43830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43830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43830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43830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43830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43830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43830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43830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43830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43830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43830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43830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43830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43830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43830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43830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43830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287354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43830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-2253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43830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-2253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43830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43830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285101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43830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86994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43830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-9614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43830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-6284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43830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-3330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43830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43830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43830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43830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43830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43830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43830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43830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43830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-1825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43830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360656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43830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43830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43830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360656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43830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43830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43830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43830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43830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43830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43830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43830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43830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43830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43830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43830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43830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43830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43830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43830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43830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43830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43830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43830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43830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43830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43830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43830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43830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43830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43830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43830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43830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43830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43830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43830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43830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43830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43830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43830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43830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43830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43830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43830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43830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43830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43830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43830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43830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477813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43830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-2253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43830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-2253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43830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43830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475560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43830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86994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43830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-6284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43830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-6284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43830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43830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43830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176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43830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176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43830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43830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-60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43830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43830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60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43830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43830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45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43830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556431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43830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43830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43830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556431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43830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32969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43830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43830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43830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43830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32969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43830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-2635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43830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-3975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43830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-3975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43830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43830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43830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43830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43830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43830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43830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43830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43830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43830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-7018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43830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19341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43830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43830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43830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19341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43830</v>
      </c>
      <c r="D461" s="99" t="s">
        <v>523</v>
      </c>
      <c r="E461" s="474">
        <v>1</v>
      </c>
      <c r="F461" s="99" t="s">
        <v>522</v>
      </c>
      <c r="H461" s="99">
        <f>'Справка 6'!D11</f>
        <v>54392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43830</v>
      </c>
      <c r="D462" s="99" t="s">
        <v>526</v>
      </c>
      <c r="E462" s="474">
        <v>1</v>
      </c>
      <c r="F462" s="99" t="s">
        <v>525</v>
      </c>
      <c r="H462" s="99">
        <f>'Справка 6'!D12</f>
        <v>180843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43830</v>
      </c>
      <c r="D463" s="99" t="s">
        <v>529</v>
      </c>
      <c r="E463" s="474">
        <v>1</v>
      </c>
      <c r="F463" s="99" t="s">
        <v>528</v>
      </c>
      <c r="H463" s="99">
        <f>'Справка 6'!D13</f>
        <v>219022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43830</v>
      </c>
      <c r="D464" s="99" t="s">
        <v>532</v>
      </c>
      <c r="E464" s="474">
        <v>1</v>
      </c>
      <c r="F464" s="99" t="s">
        <v>531</v>
      </c>
      <c r="H464" s="99">
        <f>'Справка 6'!D14</f>
        <v>18903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43830</v>
      </c>
      <c r="D465" s="99" t="s">
        <v>535</v>
      </c>
      <c r="E465" s="474">
        <v>1</v>
      </c>
      <c r="F465" s="99" t="s">
        <v>534</v>
      </c>
      <c r="H465" s="99">
        <f>'Справка 6'!D15</f>
        <v>20529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43830</v>
      </c>
      <c r="D466" s="99" t="s">
        <v>537</v>
      </c>
      <c r="E466" s="474">
        <v>1</v>
      </c>
      <c r="F466" s="99" t="s">
        <v>536</v>
      </c>
      <c r="H466" s="99">
        <f>'Справка 6'!D16</f>
        <v>23749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43830</v>
      </c>
      <c r="D467" s="99" t="s">
        <v>540</v>
      </c>
      <c r="E467" s="474">
        <v>1</v>
      </c>
      <c r="F467" s="99" t="s">
        <v>539</v>
      </c>
      <c r="H467" s="99">
        <f>'Справка 6'!D17</f>
        <v>16365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43830</v>
      </c>
      <c r="D468" s="99" t="s">
        <v>543</v>
      </c>
      <c r="E468" s="474">
        <v>1</v>
      </c>
      <c r="F468" s="99" t="s">
        <v>542</v>
      </c>
      <c r="H468" s="99">
        <f>'Справка 6'!D18</f>
        <v>450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43830</v>
      </c>
      <c r="D469" s="99" t="s">
        <v>545</v>
      </c>
      <c r="E469" s="474">
        <v>1</v>
      </c>
      <c r="F469" s="99" t="s">
        <v>804</v>
      </c>
      <c r="H469" s="99">
        <f>'Справка 6'!D19</f>
        <v>534253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43830</v>
      </c>
      <c r="D470" s="99" t="s">
        <v>547</v>
      </c>
      <c r="E470" s="474">
        <v>1</v>
      </c>
      <c r="F470" s="99" t="s">
        <v>546</v>
      </c>
      <c r="H470" s="99">
        <f>'Справка 6'!D20</f>
        <v>10427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43830</v>
      </c>
      <c r="D471" s="99" t="s">
        <v>549</v>
      </c>
      <c r="E471" s="474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43830</v>
      </c>
      <c r="D472" s="99" t="s">
        <v>553</v>
      </c>
      <c r="E472" s="474">
        <v>1</v>
      </c>
      <c r="F472" s="99" t="s">
        <v>552</v>
      </c>
      <c r="H472" s="99">
        <f>'Справка 6'!D23</f>
        <v>68338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43830</v>
      </c>
      <c r="D473" s="99" t="s">
        <v>555</v>
      </c>
      <c r="E473" s="474">
        <v>1</v>
      </c>
      <c r="F473" s="99" t="s">
        <v>554</v>
      </c>
      <c r="H473" s="99">
        <f>'Справка 6'!D24</f>
        <v>18613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43830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43830</v>
      </c>
      <c r="D475" s="99" t="s">
        <v>558</v>
      </c>
      <c r="E475" s="474">
        <v>1</v>
      </c>
      <c r="F475" s="99" t="s">
        <v>542</v>
      </c>
      <c r="H475" s="99">
        <f>'Справка 6'!D26</f>
        <v>5659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43830</v>
      </c>
      <c r="D476" s="99" t="s">
        <v>560</v>
      </c>
      <c r="E476" s="474">
        <v>1</v>
      </c>
      <c r="F476" s="99" t="s">
        <v>838</v>
      </c>
      <c r="H476" s="99">
        <f>'Справка 6'!D27</f>
        <v>92610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43830</v>
      </c>
      <c r="D477" s="99" t="s">
        <v>562</v>
      </c>
      <c r="E477" s="474">
        <v>1</v>
      </c>
      <c r="F477" s="99" t="s">
        <v>561</v>
      </c>
      <c r="H477" s="99">
        <f>'Справка 6'!D29</f>
        <v>28981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43830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43830</v>
      </c>
      <c r="D479" s="99" t="s">
        <v>564</v>
      </c>
      <c r="E479" s="474">
        <v>1</v>
      </c>
      <c r="F479" s="99" t="s">
        <v>110</v>
      </c>
      <c r="H479" s="99">
        <f>'Справка 6'!D31</f>
        <v>44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43830</v>
      </c>
      <c r="D480" s="99" t="s">
        <v>565</v>
      </c>
      <c r="E480" s="474">
        <v>1</v>
      </c>
      <c r="F480" s="99" t="s">
        <v>113</v>
      </c>
      <c r="H480" s="99">
        <f>'Справка 6'!D32</f>
        <v>20339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43830</v>
      </c>
      <c r="D481" s="99" t="s">
        <v>566</v>
      </c>
      <c r="E481" s="474">
        <v>1</v>
      </c>
      <c r="F481" s="99" t="s">
        <v>115</v>
      </c>
      <c r="H481" s="99">
        <f>'Справка 6'!D33</f>
        <v>8598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43830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43830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43830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43830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43830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43830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43830</v>
      </c>
      <c r="D488" s="99" t="s">
        <v>578</v>
      </c>
      <c r="E488" s="474">
        <v>1</v>
      </c>
      <c r="F488" s="99" t="s">
        <v>803</v>
      </c>
      <c r="H488" s="99">
        <f>'Справка 6'!D40</f>
        <v>28981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43830</v>
      </c>
      <c r="D489" s="99" t="s">
        <v>581</v>
      </c>
      <c r="E489" s="474">
        <v>1</v>
      </c>
      <c r="F489" s="99" t="s">
        <v>580</v>
      </c>
      <c r="H489" s="99">
        <f>'Справка 6'!D41</f>
        <v>33653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43830</v>
      </c>
      <c r="D490" s="99" t="s">
        <v>583</v>
      </c>
      <c r="E490" s="474">
        <v>1</v>
      </c>
      <c r="F490" s="99" t="s">
        <v>582</v>
      </c>
      <c r="H490" s="99">
        <f>'Справка 6'!D42</f>
        <v>699924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43830</v>
      </c>
      <c r="D491" s="99" t="s">
        <v>523</v>
      </c>
      <c r="E491" s="474">
        <v>2</v>
      </c>
      <c r="F491" s="99" t="s">
        <v>522</v>
      </c>
      <c r="H491" s="99">
        <f>'Справка 6'!E11</f>
        <v>6505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43830</v>
      </c>
      <c r="D492" s="99" t="s">
        <v>526</v>
      </c>
      <c r="E492" s="474">
        <v>2</v>
      </c>
      <c r="F492" s="99" t="s">
        <v>525</v>
      </c>
      <c r="H492" s="99">
        <f>'Справка 6'!E12</f>
        <v>51061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43830</v>
      </c>
      <c r="D493" s="99" t="s">
        <v>529</v>
      </c>
      <c r="E493" s="474">
        <v>2</v>
      </c>
      <c r="F493" s="99" t="s">
        <v>528</v>
      </c>
      <c r="H493" s="99">
        <f>'Справка 6'!E13</f>
        <v>14856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43830</v>
      </c>
      <c r="D494" s="99" t="s">
        <v>532</v>
      </c>
      <c r="E494" s="474">
        <v>2</v>
      </c>
      <c r="F494" s="99" t="s">
        <v>531</v>
      </c>
      <c r="H494" s="99">
        <f>'Справка 6'!E14</f>
        <v>2532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43830</v>
      </c>
      <c r="D495" s="99" t="s">
        <v>535</v>
      </c>
      <c r="E495" s="474">
        <v>2</v>
      </c>
      <c r="F495" s="99" t="s">
        <v>534</v>
      </c>
      <c r="H495" s="99">
        <f>'Справка 6'!E15</f>
        <v>7492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43830</v>
      </c>
      <c r="D496" s="99" t="s">
        <v>537</v>
      </c>
      <c r="E496" s="474">
        <v>2</v>
      </c>
      <c r="F496" s="99" t="s">
        <v>536</v>
      </c>
      <c r="H496" s="99">
        <f>'Справка 6'!E16</f>
        <v>1467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43830</v>
      </c>
      <c r="D497" s="99" t="s">
        <v>540</v>
      </c>
      <c r="E497" s="474">
        <v>2</v>
      </c>
      <c r="F497" s="99" t="s">
        <v>539</v>
      </c>
      <c r="H497" s="99">
        <f>'Справка 6'!E17</f>
        <v>31405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43830</v>
      </c>
      <c r="D498" s="99" t="s">
        <v>543</v>
      </c>
      <c r="E498" s="474">
        <v>2</v>
      </c>
      <c r="F498" s="99" t="s">
        <v>542</v>
      </c>
      <c r="H498" s="99">
        <f>'Справка 6'!E18</f>
        <v>35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43830</v>
      </c>
      <c r="D499" s="99" t="s">
        <v>545</v>
      </c>
      <c r="E499" s="474">
        <v>2</v>
      </c>
      <c r="F499" s="99" t="s">
        <v>804</v>
      </c>
      <c r="H499" s="99">
        <f>'Справка 6'!E19</f>
        <v>115353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43830</v>
      </c>
      <c r="D500" s="99" t="s">
        <v>547</v>
      </c>
      <c r="E500" s="474">
        <v>2</v>
      </c>
      <c r="F500" s="99" t="s">
        <v>546</v>
      </c>
      <c r="H500" s="99">
        <f>'Справка 6'!E20</f>
        <v>22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43830</v>
      </c>
      <c r="D501" s="99" t="s">
        <v>549</v>
      </c>
      <c r="E501" s="474">
        <v>2</v>
      </c>
      <c r="F501" s="99" t="s">
        <v>548</v>
      </c>
      <c r="H501" s="99">
        <f>'Справка 6'!E21</f>
        <v>162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43830</v>
      </c>
      <c r="D502" s="99" t="s">
        <v>553</v>
      </c>
      <c r="E502" s="474">
        <v>2</v>
      </c>
      <c r="F502" s="99" t="s">
        <v>552</v>
      </c>
      <c r="H502" s="99">
        <f>'Справка 6'!E23</f>
        <v>2077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43830</v>
      </c>
      <c r="D503" s="99" t="s">
        <v>555</v>
      </c>
      <c r="E503" s="474">
        <v>2</v>
      </c>
      <c r="F503" s="99" t="s">
        <v>554</v>
      </c>
      <c r="H503" s="99">
        <f>'Справка 6'!E24</f>
        <v>3378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43830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43830</v>
      </c>
      <c r="D505" s="99" t="s">
        <v>558</v>
      </c>
      <c r="E505" s="474">
        <v>2</v>
      </c>
      <c r="F505" s="99" t="s">
        <v>542</v>
      </c>
      <c r="H505" s="99">
        <f>'Справка 6'!E26</f>
        <v>2898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43830</v>
      </c>
      <c r="D506" s="99" t="s">
        <v>560</v>
      </c>
      <c r="E506" s="474">
        <v>2</v>
      </c>
      <c r="F506" s="99" t="s">
        <v>838</v>
      </c>
      <c r="H506" s="99">
        <f>'Справка 6'!E27</f>
        <v>8353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43830</v>
      </c>
      <c r="D507" s="99" t="s">
        <v>562</v>
      </c>
      <c r="E507" s="474">
        <v>2</v>
      </c>
      <c r="F507" s="99" t="s">
        <v>561</v>
      </c>
      <c r="H507" s="99">
        <f>'Справка 6'!E29</f>
        <v>46915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43830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43830</v>
      </c>
      <c r="D509" s="99" t="s">
        <v>564</v>
      </c>
      <c r="E509" s="474">
        <v>2</v>
      </c>
      <c r="F509" s="99" t="s">
        <v>110</v>
      </c>
      <c r="H509" s="99">
        <f>'Справка 6'!E31</f>
        <v>2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43830</v>
      </c>
      <c r="D510" s="99" t="s">
        <v>565</v>
      </c>
      <c r="E510" s="474">
        <v>2</v>
      </c>
      <c r="F510" s="99" t="s">
        <v>113</v>
      </c>
      <c r="H510" s="99">
        <f>'Справка 6'!E32</f>
        <v>44738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43830</v>
      </c>
      <c r="D511" s="99" t="s">
        <v>566</v>
      </c>
      <c r="E511" s="474">
        <v>2</v>
      </c>
      <c r="F511" s="99" t="s">
        <v>115</v>
      </c>
      <c r="H511" s="99">
        <f>'Справка 6'!E33</f>
        <v>2175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43830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43830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43830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43830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43830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43830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43830</v>
      </c>
      <c r="D518" s="99" t="s">
        <v>578</v>
      </c>
      <c r="E518" s="474">
        <v>2</v>
      </c>
      <c r="F518" s="99" t="s">
        <v>803</v>
      </c>
      <c r="H518" s="99">
        <f>'Справка 6'!E40</f>
        <v>46915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43830</v>
      </c>
      <c r="D519" s="99" t="s">
        <v>581</v>
      </c>
      <c r="E519" s="474">
        <v>2</v>
      </c>
      <c r="F519" s="99" t="s">
        <v>580</v>
      </c>
      <c r="H519" s="99">
        <f>'Справка 6'!E41</f>
        <v>506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43830</v>
      </c>
      <c r="D520" s="99" t="s">
        <v>583</v>
      </c>
      <c r="E520" s="474">
        <v>2</v>
      </c>
      <c r="F520" s="99" t="s">
        <v>582</v>
      </c>
      <c r="H520" s="99">
        <f>'Справка 6'!E42</f>
        <v>171311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43830</v>
      </c>
      <c r="D521" s="99" t="s">
        <v>523</v>
      </c>
      <c r="E521" s="474">
        <v>3</v>
      </c>
      <c r="F521" s="99" t="s">
        <v>522</v>
      </c>
      <c r="H521" s="99">
        <f>'Справка 6'!F11</f>
        <v>112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43830</v>
      </c>
      <c r="D522" s="99" t="s">
        <v>526</v>
      </c>
      <c r="E522" s="474">
        <v>3</v>
      </c>
      <c r="F522" s="99" t="s">
        <v>525</v>
      </c>
      <c r="H522" s="99">
        <f>'Справка 6'!F12</f>
        <v>7944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43830</v>
      </c>
      <c r="D523" s="99" t="s">
        <v>529</v>
      </c>
      <c r="E523" s="474">
        <v>3</v>
      </c>
      <c r="F523" s="99" t="s">
        <v>528</v>
      </c>
      <c r="H523" s="99">
        <f>'Справка 6'!F13</f>
        <v>3308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43830</v>
      </c>
      <c r="D524" s="99" t="s">
        <v>532</v>
      </c>
      <c r="E524" s="474">
        <v>3</v>
      </c>
      <c r="F524" s="99" t="s">
        <v>531</v>
      </c>
      <c r="H524" s="99">
        <f>'Справка 6'!F14</f>
        <v>11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43830</v>
      </c>
      <c r="D525" s="99" t="s">
        <v>535</v>
      </c>
      <c r="E525" s="474">
        <v>3</v>
      </c>
      <c r="F525" s="99" t="s">
        <v>534</v>
      </c>
      <c r="H525" s="99">
        <f>'Справка 6'!F15</f>
        <v>1997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43830</v>
      </c>
      <c r="D526" s="99" t="s">
        <v>537</v>
      </c>
      <c r="E526" s="474">
        <v>3</v>
      </c>
      <c r="F526" s="99" t="s">
        <v>536</v>
      </c>
      <c r="H526" s="99">
        <f>'Справка 6'!F16</f>
        <v>612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43830</v>
      </c>
      <c r="D527" s="99" t="s">
        <v>540</v>
      </c>
      <c r="E527" s="474">
        <v>3</v>
      </c>
      <c r="F527" s="99" t="s">
        <v>539</v>
      </c>
      <c r="H527" s="99">
        <f>'Справка 6'!F17</f>
        <v>17963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43830</v>
      </c>
      <c r="D528" s="99" t="s">
        <v>543</v>
      </c>
      <c r="E528" s="474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43830</v>
      </c>
      <c r="D529" s="99" t="s">
        <v>545</v>
      </c>
      <c r="E529" s="474">
        <v>3</v>
      </c>
      <c r="F529" s="99" t="s">
        <v>804</v>
      </c>
      <c r="H529" s="99">
        <f>'Справка 6'!F19</f>
        <v>31947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43830</v>
      </c>
      <c r="D530" s="99" t="s">
        <v>547</v>
      </c>
      <c r="E530" s="474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43830</v>
      </c>
      <c r="D531" s="99" t="s">
        <v>549</v>
      </c>
      <c r="E531" s="474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43830</v>
      </c>
      <c r="D532" s="99" t="s">
        <v>553</v>
      </c>
      <c r="E532" s="474">
        <v>3</v>
      </c>
      <c r="F532" s="99" t="s">
        <v>552</v>
      </c>
      <c r="H532" s="99">
        <f>'Справка 6'!F23</f>
        <v>4656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43830</v>
      </c>
      <c r="D533" s="99" t="s">
        <v>555</v>
      </c>
      <c r="E533" s="474">
        <v>3</v>
      </c>
      <c r="F533" s="99" t="s">
        <v>554</v>
      </c>
      <c r="H533" s="99">
        <f>'Справка 6'!F24</f>
        <v>123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43830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43830</v>
      </c>
      <c r="D535" s="99" t="s">
        <v>558</v>
      </c>
      <c r="E535" s="474">
        <v>3</v>
      </c>
      <c r="F535" s="99" t="s">
        <v>542</v>
      </c>
      <c r="H535" s="99">
        <f>'Справка 6'!F26</f>
        <v>1179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43830</v>
      </c>
      <c r="D536" s="99" t="s">
        <v>560</v>
      </c>
      <c r="E536" s="474">
        <v>3</v>
      </c>
      <c r="F536" s="99" t="s">
        <v>838</v>
      </c>
      <c r="H536" s="99">
        <f>'Справка 6'!F27</f>
        <v>5958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43830</v>
      </c>
      <c r="D537" s="99" t="s">
        <v>562</v>
      </c>
      <c r="E537" s="474">
        <v>3</v>
      </c>
      <c r="F537" s="99" t="s">
        <v>561</v>
      </c>
      <c r="H537" s="99">
        <f>'Справка 6'!F29</f>
        <v>2772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43830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43830</v>
      </c>
      <c r="D539" s="99" t="s">
        <v>564</v>
      </c>
      <c r="E539" s="474">
        <v>3</v>
      </c>
      <c r="F539" s="99" t="s">
        <v>110</v>
      </c>
      <c r="H539" s="99">
        <f>'Справка 6'!F31</f>
        <v>46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43830</v>
      </c>
      <c r="D540" s="99" t="s">
        <v>565</v>
      </c>
      <c r="E540" s="474">
        <v>3</v>
      </c>
      <c r="F540" s="99" t="s">
        <v>113</v>
      </c>
      <c r="H540" s="99">
        <f>'Справка 6'!F32</f>
        <v>2092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43830</v>
      </c>
      <c r="D541" s="99" t="s">
        <v>566</v>
      </c>
      <c r="E541" s="474">
        <v>3</v>
      </c>
      <c r="F541" s="99" t="s">
        <v>115</v>
      </c>
      <c r="H541" s="99">
        <f>'Справка 6'!F33</f>
        <v>634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43830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43830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43830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43830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43830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43830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43830</v>
      </c>
      <c r="D548" s="99" t="s">
        <v>578</v>
      </c>
      <c r="E548" s="474">
        <v>3</v>
      </c>
      <c r="F548" s="99" t="s">
        <v>803</v>
      </c>
      <c r="H548" s="99">
        <f>'Справка 6'!F40</f>
        <v>2772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43830</v>
      </c>
      <c r="D549" s="99" t="s">
        <v>581</v>
      </c>
      <c r="E549" s="474">
        <v>3</v>
      </c>
      <c r="F549" s="99" t="s">
        <v>580</v>
      </c>
      <c r="H549" s="99">
        <f>'Справка 6'!F41</f>
        <v>3857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43830</v>
      </c>
      <c r="D550" s="99" t="s">
        <v>583</v>
      </c>
      <c r="E550" s="474">
        <v>3</v>
      </c>
      <c r="F550" s="99" t="s">
        <v>582</v>
      </c>
      <c r="H550" s="99">
        <f>'Справка 6'!F42</f>
        <v>44534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43830</v>
      </c>
      <c r="D551" s="99" t="s">
        <v>523</v>
      </c>
      <c r="E551" s="474">
        <v>4</v>
      </c>
      <c r="F551" s="99" t="s">
        <v>522</v>
      </c>
      <c r="H551" s="99">
        <f>'Справка 6'!G11</f>
        <v>60785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43830</v>
      </c>
      <c r="D552" s="99" t="s">
        <v>526</v>
      </c>
      <c r="E552" s="474">
        <v>4</v>
      </c>
      <c r="F552" s="99" t="s">
        <v>525</v>
      </c>
      <c r="H552" s="99">
        <f>'Справка 6'!G12</f>
        <v>223960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43830</v>
      </c>
      <c r="D553" s="99" t="s">
        <v>529</v>
      </c>
      <c r="E553" s="474">
        <v>4</v>
      </c>
      <c r="F553" s="99" t="s">
        <v>528</v>
      </c>
      <c r="H553" s="99">
        <f>'Справка 6'!G13</f>
        <v>230570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43830</v>
      </c>
      <c r="D554" s="99" t="s">
        <v>532</v>
      </c>
      <c r="E554" s="474">
        <v>4</v>
      </c>
      <c r="F554" s="99" t="s">
        <v>531</v>
      </c>
      <c r="H554" s="99">
        <f>'Справка 6'!G14</f>
        <v>21424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43830</v>
      </c>
      <c r="D555" s="99" t="s">
        <v>535</v>
      </c>
      <c r="E555" s="474">
        <v>4</v>
      </c>
      <c r="F555" s="99" t="s">
        <v>534</v>
      </c>
      <c r="H555" s="99">
        <f>'Справка 6'!G15</f>
        <v>26024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43830</v>
      </c>
      <c r="D556" s="99" t="s">
        <v>537</v>
      </c>
      <c r="E556" s="474">
        <v>4</v>
      </c>
      <c r="F556" s="99" t="s">
        <v>536</v>
      </c>
      <c r="H556" s="99">
        <f>'Справка 6'!G16</f>
        <v>24604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43830</v>
      </c>
      <c r="D557" s="99" t="s">
        <v>540</v>
      </c>
      <c r="E557" s="474">
        <v>4</v>
      </c>
      <c r="F557" s="99" t="s">
        <v>539</v>
      </c>
      <c r="H557" s="99">
        <f>'Справка 6'!G17</f>
        <v>29807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43830</v>
      </c>
      <c r="D558" s="99" t="s">
        <v>543</v>
      </c>
      <c r="E558" s="474">
        <v>4</v>
      </c>
      <c r="F558" s="99" t="s">
        <v>542</v>
      </c>
      <c r="H558" s="99">
        <f>'Справка 6'!G18</f>
        <v>485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43830</v>
      </c>
      <c r="D559" s="99" t="s">
        <v>545</v>
      </c>
      <c r="E559" s="474">
        <v>4</v>
      </c>
      <c r="F559" s="99" t="s">
        <v>804</v>
      </c>
      <c r="H559" s="99">
        <f>'Справка 6'!G19</f>
        <v>617659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43830</v>
      </c>
      <c r="D560" s="99" t="s">
        <v>547</v>
      </c>
      <c r="E560" s="474">
        <v>4</v>
      </c>
      <c r="F560" s="99" t="s">
        <v>546</v>
      </c>
      <c r="H560" s="99">
        <f>'Справка 6'!G20</f>
        <v>10449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43830</v>
      </c>
      <c r="D561" s="99" t="s">
        <v>549</v>
      </c>
      <c r="E561" s="474">
        <v>4</v>
      </c>
      <c r="F561" s="99" t="s">
        <v>548</v>
      </c>
      <c r="H561" s="99">
        <f>'Справка 6'!G21</f>
        <v>162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43830</v>
      </c>
      <c r="D562" s="99" t="s">
        <v>553</v>
      </c>
      <c r="E562" s="474">
        <v>4</v>
      </c>
      <c r="F562" s="99" t="s">
        <v>552</v>
      </c>
      <c r="H562" s="99">
        <f>'Справка 6'!G23</f>
        <v>65759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43830</v>
      </c>
      <c r="D563" s="99" t="s">
        <v>555</v>
      </c>
      <c r="E563" s="474">
        <v>4</v>
      </c>
      <c r="F563" s="99" t="s">
        <v>554</v>
      </c>
      <c r="H563" s="99">
        <f>'Справка 6'!G24</f>
        <v>21868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43830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43830</v>
      </c>
      <c r="D565" s="99" t="s">
        <v>558</v>
      </c>
      <c r="E565" s="474">
        <v>4</v>
      </c>
      <c r="F565" s="99" t="s">
        <v>542</v>
      </c>
      <c r="H565" s="99">
        <f>'Справка 6'!G26</f>
        <v>7378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43830</v>
      </c>
      <c r="D566" s="99" t="s">
        <v>560</v>
      </c>
      <c r="E566" s="474">
        <v>4</v>
      </c>
      <c r="F566" s="99" t="s">
        <v>838</v>
      </c>
      <c r="H566" s="99">
        <f>'Справка 6'!G27</f>
        <v>95005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43830</v>
      </c>
      <c r="D567" s="99" t="s">
        <v>562</v>
      </c>
      <c r="E567" s="474">
        <v>4</v>
      </c>
      <c r="F567" s="99" t="s">
        <v>561</v>
      </c>
      <c r="H567" s="99">
        <f>'Справка 6'!G29</f>
        <v>73124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43830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43830</v>
      </c>
      <c r="D569" s="99" t="s">
        <v>564</v>
      </c>
      <c r="E569" s="474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43830</v>
      </c>
      <c r="D570" s="99" t="s">
        <v>565</v>
      </c>
      <c r="E570" s="474">
        <v>4</v>
      </c>
      <c r="F570" s="99" t="s">
        <v>113</v>
      </c>
      <c r="H570" s="99">
        <f>'Справка 6'!G32</f>
        <v>62985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43830</v>
      </c>
      <c r="D571" s="99" t="s">
        <v>566</v>
      </c>
      <c r="E571" s="474">
        <v>4</v>
      </c>
      <c r="F571" s="99" t="s">
        <v>115</v>
      </c>
      <c r="H571" s="99">
        <f>'Справка 6'!G33</f>
        <v>10139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43830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43830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43830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43830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43830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43830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43830</v>
      </c>
      <c r="D578" s="99" t="s">
        <v>578</v>
      </c>
      <c r="E578" s="474">
        <v>4</v>
      </c>
      <c r="F578" s="99" t="s">
        <v>803</v>
      </c>
      <c r="H578" s="99">
        <f>'Справка 6'!G40</f>
        <v>73124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43830</v>
      </c>
      <c r="D579" s="99" t="s">
        <v>581</v>
      </c>
      <c r="E579" s="474">
        <v>4</v>
      </c>
      <c r="F579" s="99" t="s">
        <v>580</v>
      </c>
      <c r="H579" s="99">
        <f>'Справка 6'!G41</f>
        <v>30302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43830</v>
      </c>
      <c r="D580" s="99" t="s">
        <v>583</v>
      </c>
      <c r="E580" s="474">
        <v>4</v>
      </c>
      <c r="F580" s="99" t="s">
        <v>582</v>
      </c>
      <c r="H580" s="99">
        <f>'Справка 6'!G42</f>
        <v>826701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43830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43830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43830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43830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43830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43830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43830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43830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43830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43830</v>
      </c>
      <c r="D590" s="99" t="s">
        <v>547</v>
      </c>
      <c r="E590" s="474">
        <v>5</v>
      </c>
      <c r="F590" s="99" t="s">
        <v>546</v>
      </c>
      <c r="H590" s="99">
        <f>'Справка 6'!H20</f>
        <v>407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43830</v>
      </c>
      <c r="D591" s="99" t="s">
        <v>549</v>
      </c>
      <c r="E591" s="474">
        <v>5</v>
      </c>
      <c r="F591" s="99" t="s">
        <v>548</v>
      </c>
      <c r="H591" s="99">
        <f>'Справка 6'!H21</f>
        <v>196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43830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43830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43830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43830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43830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43830</v>
      </c>
      <c r="D597" s="99" t="s">
        <v>562</v>
      </c>
      <c r="E597" s="474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43830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43830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43830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43830</v>
      </c>
      <c r="D601" s="99" t="s">
        <v>566</v>
      </c>
      <c r="E601" s="474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43830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43830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43830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43830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43830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43830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43830</v>
      </c>
      <c r="D608" s="99" t="s">
        <v>578</v>
      </c>
      <c r="E608" s="474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43830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43830</v>
      </c>
      <c r="D610" s="99" t="s">
        <v>583</v>
      </c>
      <c r="E610" s="474">
        <v>5</v>
      </c>
      <c r="F610" s="99" t="s">
        <v>582</v>
      </c>
      <c r="H610" s="99">
        <f>'Справка 6'!H42</f>
        <v>603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43830</v>
      </c>
      <c r="D611" s="99" t="s">
        <v>523</v>
      </c>
      <c r="E611" s="474">
        <v>6</v>
      </c>
      <c r="F611" s="99" t="s">
        <v>522</v>
      </c>
      <c r="H611" s="99">
        <f>'Справка 6'!I11</f>
        <v>145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43830</v>
      </c>
      <c r="D612" s="99" t="s">
        <v>526</v>
      </c>
      <c r="E612" s="474">
        <v>6</v>
      </c>
      <c r="F612" s="99" t="s">
        <v>525</v>
      </c>
      <c r="H612" s="99">
        <f>'Справка 6'!I12</f>
        <v>192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43830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43830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43830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43830</v>
      </c>
      <c r="D616" s="99" t="s">
        <v>537</v>
      </c>
      <c r="E616" s="474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43830</v>
      </c>
      <c r="D617" s="99" t="s">
        <v>540</v>
      </c>
      <c r="E617" s="474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43830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43830</v>
      </c>
      <c r="D619" s="99" t="s">
        <v>545</v>
      </c>
      <c r="E619" s="474">
        <v>6</v>
      </c>
      <c r="F619" s="99" t="s">
        <v>804</v>
      </c>
      <c r="H619" s="99">
        <f>'Справка 6'!I19</f>
        <v>337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43830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43830</v>
      </c>
      <c r="D621" s="99" t="s">
        <v>549</v>
      </c>
      <c r="E621" s="474">
        <v>6</v>
      </c>
      <c r="F621" s="99" t="s">
        <v>548</v>
      </c>
      <c r="H621" s="99">
        <f>'Справка 6'!I21</f>
        <v>3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43830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43830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43830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43830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43830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43830</v>
      </c>
      <c r="D627" s="99" t="s">
        <v>562</v>
      </c>
      <c r="E627" s="474">
        <v>6</v>
      </c>
      <c r="F627" s="99" t="s">
        <v>561</v>
      </c>
      <c r="H627" s="99">
        <f>'Справка 6'!I29</f>
        <v>60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43830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43830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43830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43830</v>
      </c>
      <c r="D631" s="99" t="s">
        <v>566</v>
      </c>
      <c r="E631" s="474">
        <v>6</v>
      </c>
      <c r="F631" s="99" t="s">
        <v>115</v>
      </c>
      <c r="H631" s="99">
        <f>'Справка 6'!I33</f>
        <v>60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43830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43830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43830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43830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43830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43830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43830</v>
      </c>
      <c r="D638" s="99" t="s">
        <v>578</v>
      </c>
      <c r="E638" s="474">
        <v>6</v>
      </c>
      <c r="F638" s="99" t="s">
        <v>803</v>
      </c>
      <c r="H638" s="99">
        <f>'Справка 6'!I40</f>
        <v>60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43830</v>
      </c>
      <c r="D639" s="99" t="s">
        <v>581</v>
      </c>
      <c r="E639" s="474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43830</v>
      </c>
      <c r="D640" s="99" t="s">
        <v>583</v>
      </c>
      <c r="E640" s="474">
        <v>6</v>
      </c>
      <c r="F640" s="99" t="s">
        <v>582</v>
      </c>
      <c r="H640" s="99">
        <f>'Справка 6'!I42</f>
        <v>400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43830</v>
      </c>
      <c r="D641" s="99" t="s">
        <v>523</v>
      </c>
      <c r="E641" s="474">
        <v>7</v>
      </c>
      <c r="F641" s="99" t="s">
        <v>522</v>
      </c>
      <c r="H641" s="99">
        <f>'Справка 6'!J11</f>
        <v>60640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43830</v>
      </c>
      <c r="D642" s="99" t="s">
        <v>526</v>
      </c>
      <c r="E642" s="474">
        <v>7</v>
      </c>
      <c r="F642" s="99" t="s">
        <v>525</v>
      </c>
      <c r="H642" s="99">
        <f>'Справка 6'!J12</f>
        <v>223768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43830</v>
      </c>
      <c r="D643" s="99" t="s">
        <v>529</v>
      </c>
      <c r="E643" s="474">
        <v>7</v>
      </c>
      <c r="F643" s="99" t="s">
        <v>528</v>
      </c>
      <c r="H643" s="99">
        <f>'Справка 6'!J13</f>
        <v>230570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43830</v>
      </c>
      <c r="D644" s="99" t="s">
        <v>532</v>
      </c>
      <c r="E644" s="474">
        <v>7</v>
      </c>
      <c r="F644" s="99" t="s">
        <v>531</v>
      </c>
      <c r="H644" s="99">
        <f>'Справка 6'!J14</f>
        <v>21424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43830</v>
      </c>
      <c r="D645" s="99" t="s">
        <v>535</v>
      </c>
      <c r="E645" s="474">
        <v>7</v>
      </c>
      <c r="F645" s="99" t="s">
        <v>534</v>
      </c>
      <c r="H645" s="99">
        <f>'Справка 6'!J15</f>
        <v>26024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43830</v>
      </c>
      <c r="D646" s="99" t="s">
        <v>537</v>
      </c>
      <c r="E646" s="474">
        <v>7</v>
      </c>
      <c r="F646" s="99" t="s">
        <v>536</v>
      </c>
      <c r="H646" s="99">
        <f>'Справка 6'!J16</f>
        <v>24604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43830</v>
      </c>
      <c r="D647" s="99" t="s">
        <v>540</v>
      </c>
      <c r="E647" s="474">
        <v>7</v>
      </c>
      <c r="F647" s="99" t="s">
        <v>539</v>
      </c>
      <c r="H647" s="99">
        <f>'Справка 6'!J17</f>
        <v>29807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43830</v>
      </c>
      <c r="D648" s="99" t="s">
        <v>543</v>
      </c>
      <c r="E648" s="474">
        <v>7</v>
      </c>
      <c r="F648" s="99" t="s">
        <v>542</v>
      </c>
      <c r="H648" s="99">
        <f>'Справка 6'!J18</f>
        <v>485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43830</v>
      </c>
      <c r="D649" s="99" t="s">
        <v>545</v>
      </c>
      <c r="E649" s="474">
        <v>7</v>
      </c>
      <c r="F649" s="99" t="s">
        <v>804</v>
      </c>
      <c r="H649" s="99">
        <f>'Справка 6'!J19</f>
        <v>617322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43830</v>
      </c>
      <c r="D650" s="99" t="s">
        <v>547</v>
      </c>
      <c r="E650" s="474">
        <v>7</v>
      </c>
      <c r="F650" s="99" t="s">
        <v>546</v>
      </c>
      <c r="H650" s="99">
        <f>'Справка 6'!J20</f>
        <v>10856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43830</v>
      </c>
      <c r="D651" s="99" t="s">
        <v>549</v>
      </c>
      <c r="E651" s="474">
        <v>7</v>
      </c>
      <c r="F651" s="99" t="s">
        <v>548</v>
      </c>
      <c r="H651" s="99">
        <f>'Справка 6'!J21</f>
        <v>355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43830</v>
      </c>
      <c r="D652" s="99" t="s">
        <v>553</v>
      </c>
      <c r="E652" s="474">
        <v>7</v>
      </c>
      <c r="F652" s="99" t="s">
        <v>552</v>
      </c>
      <c r="H652" s="99">
        <f>'Справка 6'!J23</f>
        <v>65759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43830</v>
      </c>
      <c r="D653" s="99" t="s">
        <v>555</v>
      </c>
      <c r="E653" s="474">
        <v>7</v>
      </c>
      <c r="F653" s="99" t="s">
        <v>554</v>
      </c>
      <c r="H653" s="99">
        <f>'Справка 6'!J24</f>
        <v>21868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43830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43830</v>
      </c>
      <c r="D655" s="99" t="s">
        <v>558</v>
      </c>
      <c r="E655" s="474">
        <v>7</v>
      </c>
      <c r="F655" s="99" t="s">
        <v>542</v>
      </c>
      <c r="H655" s="99">
        <f>'Справка 6'!J26</f>
        <v>7378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43830</v>
      </c>
      <c r="D656" s="99" t="s">
        <v>560</v>
      </c>
      <c r="E656" s="474">
        <v>7</v>
      </c>
      <c r="F656" s="99" t="s">
        <v>838</v>
      </c>
      <c r="H656" s="99">
        <f>'Справка 6'!J27</f>
        <v>95005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43830</v>
      </c>
      <c r="D657" s="99" t="s">
        <v>562</v>
      </c>
      <c r="E657" s="474">
        <v>7</v>
      </c>
      <c r="F657" s="99" t="s">
        <v>561</v>
      </c>
      <c r="H657" s="99">
        <f>'Справка 6'!J29</f>
        <v>73064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43830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43830</v>
      </c>
      <c r="D659" s="99" t="s">
        <v>564</v>
      </c>
      <c r="E659" s="474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43830</v>
      </c>
      <c r="D660" s="99" t="s">
        <v>565</v>
      </c>
      <c r="E660" s="474">
        <v>7</v>
      </c>
      <c r="F660" s="99" t="s">
        <v>113</v>
      </c>
      <c r="H660" s="99">
        <f>'Справка 6'!J32</f>
        <v>62985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43830</v>
      </c>
      <c r="D661" s="99" t="s">
        <v>566</v>
      </c>
      <c r="E661" s="474">
        <v>7</v>
      </c>
      <c r="F661" s="99" t="s">
        <v>115</v>
      </c>
      <c r="H661" s="99">
        <f>'Справка 6'!J33</f>
        <v>10079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43830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43830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43830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43830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43830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43830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43830</v>
      </c>
      <c r="D668" s="99" t="s">
        <v>578</v>
      </c>
      <c r="E668" s="474">
        <v>7</v>
      </c>
      <c r="F668" s="99" t="s">
        <v>803</v>
      </c>
      <c r="H668" s="99">
        <f>'Справка 6'!J40</f>
        <v>73064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43830</v>
      </c>
      <c r="D669" s="99" t="s">
        <v>581</v>
      </c>
      <c r="E669" s="474">
        <v>7</v>
      </c>
      <c r="F669" s="99" t="s">
        <v>580</v>
      </c>
      <c r="H669" s="99">
        <f>'Справка 6'!J41</f>
        <v>30302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43830</v>
      </c>
      <c r="D670" s="99" t="s">
        <v>583</v>
      </c>
      <c r="E670" s="474">
        <v>7</v>
      </c>
      <c r="F670" s="99" t="s">
        <v>582</v>
      </c>
      <c r="H670" s="99">
        <f>'Справка 6'!J42</f>
        <v>826904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43830</v>
      </c>
      <c r="D671" s="99" t="s">
        <v>523</v>
      </c>
      <c r="E671" s="474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43830</v>
      </c>
      <c r="D672" s="99" t="s">
        <v>526</v>
      </c>
      <c r="E672" s="474">
        <v>8</v>
      </c>
      <c r="F672" s="99" t="s">
        <v>525</v>
      </c>
      <c r="H672" s="99">
        <f>'Справка 6'!K12</f>
        <v>51658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43830</v>
      </c>
      <c r="D673" s="99" t="s">
        <v>529</v>
      </c>
      <c r="E673" s="474">
        <v>8</v>
      </c>
      <c r="F673" s="99" t="s">
        <v>528</v>
      </c>
      <c r="H673" s="99">
        <f>'Справка 6'!K13</f>
        <v>124102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43830</v>
      </c>
      <c r="D674" s="99" t="s">
        <v>532</v>
      </c>
      <c r="E674" s="474">
        <v>8</v>
      </c>
      <c r="F674" s="99" t="s">
        <v>531</v>
      </c>
      <c r="H674" s="99">
        <f>'Справка 6'!K14</f>
        <v>6377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43830</v>
      </c>
      <c r="D675" s="99" t="s">
        <v>535</v>
      </c>
      <c r="E675" s="474">
        <v>8</v>
      </c>
      <c r="F675" s="99" t="s">
        <v>534</v>
      </c>
      <c r="H675" s="99">
        <f>'Справка 6'!K15</f>
        <v>12766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43830</v>
      </c>
      <c r="D676" s="99" t="s">
        <v>537</v>
      </c>
      <c r="E676" s="474">
        <v>8</v>
      </c>
      <c r="F676" s="99" t="s">
        <v>536</v>
      </c>
      <c r="H676" s="99">
        <f>'Справка 6'!K16</f>
        <v>14801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43830</v>
      </c>
      <c r="D677" s="99" t="s">
        <v>540</v>
      </c>
      <c r="E677" s="474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43830</v>
      </c>
      <c r="D678" s="99" t="s">
        <v>543</v>
      </c>
      <c r="E678" s="474">
        <v>8</v>
      </c>
      <c r="F678" s="99" t="s">
        <v>542</v>
      </c>
      <c r="H678" s="99">
        <f>'Справка 6'!K18</f>
        <v>24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43830</v>
      </c>
      <c r="D679" s="99" t="s">
        <v>545</v>
      </c>
      <c r="E679" s="474">
        <v>8</v>
      </c>
      <c r="F679" s="99" t="s">
        <v>804</v>
      </c>
      <c r="H679" s="99">
        <f>'Справка 6'!K19</f>
        <v>209728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43830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43830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43830</v>
      </c>
      <c r="D682" s="99" t="s">
        <v>553</v>
      </c>
      <c r="E682" s="474">
        <v>8</v>
      </c>
      <c r="F682" s="99" t="s">
        <v>552</v>
      </c>
      <c r="H682" s="99">
        <f>'Справка 6'!K23</f>
        <v>18570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43830</v>
      </c>
      <c r="D683" s="99" t="s">
        <v>555</v>
      </c>
      <c r="E683" s="474">
        <v>8</v>
      </c>
      <c r="F683" s="99" t="s">
        <v>554</v>
      </c>
      <c r="H683" s="99">
        <f>'Справка 6'!K24</f>
        <v>9524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43830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43830</v>
      </c>
      <c r="D685" s="99" t="s">
        <v>558</v>
      </c>
      <c r="E685" s="474">
        <v>8</v>
      </c>
      <c r="F685" s="99" t="s">
        <v>542</v>
      </c>
      <c r="H685" s="99">
        <f>'Справка 6'!K26</f>
        <v>2321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43830</v>
      </c>
      <c r="D686" s="99" t="s">
        <v>560</v>
      </c>
      <c r="E686" s="474">
        <v>8</v>
      </c>
      <c r="F686" s="99" t="s">
        <v>838</v>
      </c>
      <c r="H686" s="99">
        <f>'Справка 6'!K27</f>
        <v>30415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43830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43830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43830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43830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43830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43830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43830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43830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43830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43830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43830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43830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43830</v>
      </c>
      <c r="D699" s="99" t="s">
        <v>581</v>
      </c>
      <c r="E699" s="474">
        <v>8</v>
      </c>
      <c r="F699" s="99" t="s">
        <v>580</v>
      </c>
      <c r="H699" s="99">
        <f>'Справка 6'!K41</f>
        <v>10137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43830</v>
      </c>
      <c r="D700" s="99" t="s">
        <v>583</v>
      </c>
      <c r="E700" s="474">
        <v>8</v>
      </c>
      <c r="F700" s="99" t="s">
        <v>582</v>
      </c>
      <c r="H700" s="99">
        <f>'Справка 6'!K42</f>
        <v>250280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43830</v>
      </c>
      <c r="D701" s="99" t="s">
        <v>523</v>
      </c>
      <c r="E701" s="474">
        <v>9</v>
      </c>
      <c r="F701" s="99" t="s">
        <v>522</v>
      </c>
      <c r="H701" s="99">
        <f>'Справка 6'!L11</f>
        <v>1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43830</v>
      </c>
      <c r="D702" s="99" t="s">
        <v>526</v>
      </c>
      <c r="E702" s="474">
        <v>9</v>
      </c>
      <c r="F702" s="99" t="s">
        <v>525</v>
      </c>
      <c r="H702" s="99">
        <f>'Справка 6'!L12</f>
        <v>16075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43830</v>
      </c>
      <c r="D703" s="99" t="s">
        <v>529</v>
      </c>
      <c r="E703" s="474">
        <v>9</v>
      </c>
      <c r="F703" s="99" t="s">
        <v>528</v>
      </c>
      <c r="H703" s="99">
        <f>'Справка 6'!L13</f>
        <v>12783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43830</v>
      </c>
      <c r="D704" s="99" t="s">
        <v>532</v>
      </c>
      <c r="E704" s="474">
        <v>9</v>
      </c>
      <c r="F704" s="99" t="s">
        <v>531</v>
      </c>
      <c r="H704" s="99">
        <f>'Справка 6'!L14</f>
        <v>1295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43830</v>
      </c>
      <c r="D705" s="99" t="s">
        <v>535</v>
      </c>
      <c r="E705" s="474">
        <v>9</v>
      </c>
      <c r="F705" s="99" t="s">
        <v>534</v>
      </c>
      <c r="H705" s="99">
        <f>'Справка 6'!L15</f>
        <v>3709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43830</v>
      </c>
      <c r="D706" s="99" t="s">
        <v>537</v>
      </c>
      <c r="E706" s="474">
        <v>9</v>
      </c>
      <c r="F706" s="99" t="s">
        <v>536</v>
      </c>
      <c r="H706" s="99">
        <f>'Справка 6'!L16</f>
        <v>1964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43830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43830</v>
      </c>
      <c r="D708" s="99" t="s">
        <v>543</v>
      </c>
      <c r="E708" s="474">
        <v>9</v>
      </c>
      <c r="F708" s="99" t="s">
        <v>542</v>
      </c>
      <c r="H708" s="99">
        <f>'Справка 6'!L18</f>
        <v>75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43830</v>
      </c>
      <c r="D709" s="99" t="s">
        <v>545</v>
      </c>
      <c r="E709" s="474">
        <v>9</v>
      </c>
      <c r="F709" s="99" t="s">
        <v>804</v>
      </c>
      <c r="H709" s="99">
        <f>'Справка 6'!L19</f>
        <v>35902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43830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43830</v>
      </c>
      <c r="D711" s="99" t="s">
        <v>549</v>
      </c>
      <c r="E711" s="474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43830</v>
      </c>
      <c r="D712" s="99" t="s">
        <v>553</v>
      </c>
      <c r="E712" s="474">
        <v>9</v>
      </c>
      <c r="F712" s="99" t="s">
        <v>552</v>
      </c>
      <c r="H712" s="99">
        <f>'Справка 6'!L23</f>
        <v>6637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43830</v>
      </c>
      <c r="D713" s="99" t="s">
        <v>555</v>
      </c>
      <c r="E713" s="474">
        <v>9</v>
      </c>
      <c r="F713" s="99" t="s">
        <v>554</v>
      </c>
      <c r="H713" s="99">
        <f>'Справка 6'!L24</f>
        <v>1886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43830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43830</v>
      </c>
      <c r="D715" s="99" t="s">
        <v>558</v>
      </c>
      <c r="E715" s="474">
        <v>9</v>
      </c>
      <c r="F715" s="99" t="s">
        <v>542</v>
      </c>
      <c r="H715" s="99">
        <f>'Справка 6'!L26</f>
        <v>41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43830</v>
      </c>
      <c r="D716" s="99" t="s">
        <v>560</v>
      </c>
      <c r="E716" s="474">
        <v>9</v>
      </c>
      <c r="F716" s="99" t="s">
        <v>838</v>
      </c>
      <c r="H716" s="99">
        <f>'Справка 6'!L27</f>
        <v>8564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43830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43830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43830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43830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43830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43830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43830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43830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43830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43830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43830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43830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43830</v>
      </c>
      <c r="D729" s="99" t="s">
        <v>581</v>
      </c>
      <c r="E729" s="474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43830</v>
      </c>
      <c r="D730" s="99" t="s">
        <v>583</v>
      </c>
      <c r="E730" s="474">
        <v>9</v>
      </c>
      <c r="F730" s="99" t="s">
        <v>582</v>
      </c>
      <c r="H730" s="99">
        <f>'Справка 6'!L42</f>
        <v>44466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43830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43830</v>
      </c>
      <c r="D732" s="99" t="s">
        <v>526</v>
      </c>
      <c r="E732" s="474">
        <v>10</v>
      </c>
      <c r="F732" s="99" t="s">
        <v>525</v>
      </c>
      <c r="H732" s="99">
        <f>'Справка 6'!M12</f>
        <v>1500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43830</v>
      </c>
      <c r="D733" s="99" t="s">
        <v>529</v>
      </c>
      <c r="E733" s="474">
        <v>10</v>
      </c>
      <c r="F733" s="99" t="s">
        <v>528</v>
      </c>
      <c r="H733" s="99">
        <f>'Справка 6'!M13</f>
        <v>3008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43830</v>
      </c>
      <c r="D734" s="99" t="s">
        <v>532</v>
      </c>
      <c r="E734" s="474">
        <v>10</v>
      </c>
      <c r="F734" s="99" t="s">
        <v>531</v>
      </c>
      <c r="H734" s="99">
        <f>'Справка 6'!M14</f>
        <v>5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43830</v>
      </c>
      <c r="D735" s="99" t="s">
        <v>535</v>
      </c>
      <c r="E735" s="474">
        <v>10</v>
      </c>
      <c r="F735" s="99" t="s">
        <v>534</v>
      </c>
      <c r="H735" s="99">
        <f>'Справка 6'!M15</f>
        <v>1591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43830</v>
      </c>
      <c r="D736" s="99" t="s">
        <v>537</v>
      </c>
      <c r="E736" s="474">
        <v>10</v>
      </c>
      <c r="F736" s="99" t="s">
        <v>536</v>
      </c>
      <c r="H736" s="99">
        <f>'Справка 6'!M16</f>
        <v>427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43830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43830</v>
      </c>
      <c r="D738" s="99" t="s">
        <v>543</v>
      </c>
      <c r="E738" s="474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43830</v>
      </c>
      <c r="D739" s="99" t="s">
        <v>545</v>
      </c>
      <c r="E739" s="474">
        <v>10</v>
      </c>
      <c r="F739" s="99" t="s">
        <v>804</v>
      </c>
      <c r="H739" s="99">
        <f>'Справка 6'!M19</f>
        <v>6531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43830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43830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43830</v>
      </c>
      <c r="D742" s="99" t="s">
        <v>553</v>
      </c>
      <c r="E742" s="474">
        <v>10</v>
      </c>
      <c r="F742" s="99" t="s">
        <v>552</v>
      </c>
      <c r="H742" s="99">
        <f>'Справка 6'!M23</f>
        <v>1106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43830</v>
      </c>
      <c r="D743" s="99" t="s">
        <v>555</v>
      </c>
      <c r="E743" s="474">
        <v>10</v>
      </c>
      <c r="F743" s="99" t="s">
        <v>554</v>
      </c>
      <c r="H743" s="99">
        <f>'Справка 6'!M24</f>
        <v>97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43830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43830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43830</v>
      </c>
      <c r="D746" s="99" t="s">
        <v>560</v>
      </c>
      <c r="E746" s="474">
        <v>10</v>
      </c>
      <c r="F746" s="99" t="s">
        <v>838</v>
      </c>
      <c r="H746" s="99">
        <f>'Справка 6'!M27</f>
        <v>1203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43830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43830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43830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43830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43830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43830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43830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43830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43830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43830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43830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43830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43830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43830</v>
      </c>
      <c r="D760" s="99" t="s">
        <v>583</v>
      </c>
      <c r="E760" s="474">
        <v>10</v>
      </c>
      <c r="F760" s="99" t="s">
        <v>582</v>
      </c>
      <c r="H760" s="99">
        <f>'Справка 6'!M42</f>
        <v>7734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43830</v>
      </c>
      <c r="D761" s="99" t="s">
        <v>523</v>
      </c>
      <c r="E761" s="474">
        <v>11</v>
      </c>
      <c r="F761" s="99" t="s">
        <v>522</v>
      </c>
      <c r="H761" s="99">
        <f>'Справка 6'!N11</f>
        <v>1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43830</v>
      </c>
      <c r="D762" s="99" t="s">
        <v>526</v>
      </c>
      <c r="E762" s="474">
        <v>11</v>
      </c>
      <c r="F762" s="99" t="s">
        <v>525</v>
      </c>
      <c r="H762" s="99">
        <f>'Справка 6'!N12</f>
        <v>66233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43830</v>
      </c>
      <c r="D763" s="99" t="s">
        <v>529</v>
      </c>
      <c r="E763" s="474">
        <v>11</v>
      </c>
      <c r="F763" s="99" t="s">
        <v>528</v>
      </c>
      <c r="H763" s="99">
        <f>'Справка 6'!N13</f>
        <v>133877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43830</v>
      </c>
      <c r="D764" s="99" t="s">
        <v>532</v>
      </c>
      <c r="E764" s="474">
        <v>11</v>
      </c>
      <c r="F764" s="99" t="s">
        <v>531</v>
      </c>
      <c r="H764" s="99">
        <f>'Справка 6'!N14</f>
        <v>7667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43830</v>
      </c>
      <c r="D765" s="99" t="s">
        <v>535</v>
      </c>
      <c r="E765" s="474">
        <v>11</v>
      </c>
      <c r="F765" s="99" t="s">
        <v>534</v>
      </c>
      <c r="H765" s="99">
        <f>'Справка 6'!N15</f>
        <v>14884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43830</v>
      </c>
      <c r="D766" s="99" t="s">
        <v>537</v>
      </c>
      <c r="E766" s="474">
        <v>11</v>
      </c>
      <c r="F766" s="99" t="s">
        <v>536</v>
      </c>
      <c r="H766" s="99">
        <f>'Справка 6'!N16</f>
        <v>16338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43830</v>
      </c>
      <c r="D767" s="99" t="s">
        <v>540</v>
      </c>
      <c r="E767" s="474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43830</v>
      </c>
      <c r="D768" s="99" t="s">
        <v>543</v>
      </c>
      <c r="E768" s="474">
        <v>11</v>
      </c>
      <c r="F768" s="99" t="s">
        <v>542</v>
      </c>
      <c r="H768" s="99">
        <f>'Справка 6'!N18</f>
        <v>99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43830</v>
      </c>
      <c r="D769" s="99" t="s">
        <v>545</v>
      </c>
      <c r="E769" s="474">
        <v>11</v>
      </c>
      <c r="F769" s="99" t="s">
        <v>804</v>
      </c>
      <c r="H769" s="99">
        <f>'Справка 6'!N19</f>
        <v>239099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43830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43830</v>
      </c>
      <c r="D771" s="99" t="s">
        <v>549</v>
      </c>
      <c r="E771" s="474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43830</v>
      </c>
      <c r="D772" s="99" t="s">
        <v>553</v>
      </c>
      <c r="E772" s="474">
        <v>11</v>
      </c>
      <c r="F772" s="99" t="s">
        <v>552</v>
      </c>
      <c r="H772" s="99">
        <f>'Справка 6'!N23</f>
        <v>24101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43830</v>
      </c>
      <c r="D773" s="99" t="s">
        <v>555</v>
      </c>
      <c r="E773" s="474">
        <v>11</v>
      </c>
      <c r="F773" s="99" t="s">
        <v>554</v>
      </c>
      <c r="H773" s="99">
        <f>'Справка 6'!N24</f>
        <v>11313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43830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43830</v>
      </c>
      <c r="D775" s="99" t="s">
        <v>558</v>
      </c>
      <c r="E775" s="474">
        <v>11</v>
      </c>
      <c r="F775" s="99" t="s">
        <v>542</v>
      </c>
      <c r="H775" s="99">
        <f>'Справка 6'!N26</f>
        <v>2362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43830</v>
      </c>
      <c r="D776" s="99" t="s">
        <v>560</v>
      </c>
      <c r="E776" s="474">
        <v>11</v>
      </c>
      <c r="F776" s="99" t="s">
        <v>838</v>
      </c>
      <c r="H776" s="99">
        <f>'Справка 6'!N27</f>
        <v>37776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43830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43830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43830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43830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43830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43830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43830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43830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43830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43830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43830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43830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43830</v>
      </c>
      <c r="D789" s="99" t="s">
        <v>581</v>
      </c>
      <c r="E789" s="474">
        <v>11</v>
      </c>
      <c r="F789" s="99" t="s">
        <v>580</v>
      </c>
      <c r="H789" s="99">
        <f>'Справка 6'!N41</f>
        <v>10137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43830</v>
      </c>
      <c r="D790" s="99" t="s">
        <v>583</v>
      </c>
      <c r="E790" s="474">
        <v>11</v>
      </c>
      <c r="F790" s="99" t="s">
        <v>582</v>
      </c>
      <c r="H790" s="99">
        <f>'Справка 6'!N42</f>
        <v>287012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43830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43830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43830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43830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43830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43830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43830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43830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43830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43830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43830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43830</v>
      </c>
      <c r="D802" s="99" t="s">
        <v>553</v>
      </c>
      <c r="E802" s="474">
        <v>12</v>
      </c>
      <c r="F802" s="99" t="s">
        <v>552</v>
      </c>
      <c r="H802" s="99">
        <f>'Справка 6'!O23</f>
        <v>14400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43830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43830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43830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43830</v>
      </c>
      <c r="D806" s="99" t="s">
        <v>560</v>
      </c>
      <c r="E806" s="474">
        <v>12</v>
      </c>
      <c r="F806" s="99" t="s">
        <v>838</v>
      </c>
      <c r="H806" s="99">
        <f>'Справка 6'!O27</f>
        <v>14400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43830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43830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43830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43830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43830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43830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43830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43830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43830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43830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43830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43830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43830</v>
      </c>
      <c r="D819" s="99" t="s">
        <v>581</v>
      </c>
      <c r="E819" s="474">
        <v>12</v>
      </c>
      <c r="F819" s="99" t="s">
        <v>580</v>
      </c>
      <c r="H819" s="99">
        <f>'Справка 6'!O41</f>
        <v>4256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43830</v>
      </c>
      <c r="D820" s="99" t="s">
        <v>583</v>
      </c>
      <c r="E820" s="474">
        <v>12</v>
      </c>
      <c r="F820" s="99" t="s">
        <v>582</v>
      </c>
      <c r="H820" s="99">
        <f>'Справка 6'!O42</f>
        <v>18656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43830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43830</v>
      </c>
      <c r="D822" s="99" t="s">
        <v>526</v>
      </c>
      <c r="E822" s="474">
        <v>13</v>
      </c>
      <c r="F822" s="99" t="s">
        <v>525</v>
      </c>
      <c r="H822" s="99">
        <f>'Справка 6'!P12</f>
        <v>47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43830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43830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43830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43830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43830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43830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43830</v>
      </c>
      <c r="D829" s="99" t="s">
        <v>545</v>
      </c>
      <c r="E829" s="474">
        <v>13</v>
      </c>
      <c r="F829" s="99" t="s">
        <v>804</v>
      </c>
      <c r="H829" s="99">
        <f>'Справка 6'!P19</f>
        <v>47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43830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43830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43830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43830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43830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43830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43830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43830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43830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43830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43830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43830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43830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43830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43830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43830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43830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43830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43830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43830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43830</v>
      </c>
      <c r="D850" s="99" t="s">
        <v>583</v>
      </c>
      <c r="E850" s="474">
        <v>13</v>
      </c>
      <c r="F850" s="99" t="s">
        <v>582</v>
      </c>
      <c r="H850" s="99">
        <f>'Справка 6'!P42</f>
        <v>47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43830</v>
      </c>
      <c r="D851" s="99" t="s">
        <v>523</v>
      </c>
      <c r="E851" s="474">
        <v>14</v>
      </c>
      <c r="F851" s="99" t="s">
        <v>522</v>
      </c>
      <c r="H851" s="99">
        <f>'Справка 6'!Q11</f>
        <v>1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43830</v>
      </c>
      <c r="D852" s="99" t="s">
        <v>526</v>
      </c>
      <c r="E852" s="474">
        <v>14</v>
      </c>
      <c r="F852" s="99" t="s">
        <v>525</v>
      </c>
      <c r="H852" s="99">
        <f>'Справка 6'!Q12</f>
        <v>66186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43830</v>
      </c>
      <c r="D853" s="99" t="s">
        <v>529</v>
      </c>
      <c r="E853" s="474">
        <v>14</v>
      </c>
      <c r="F853" s="99" t="s">
        <v>528</v>
      </c>
      <c r="H853" s="99">
        <f>'Справка 6'!Q13</f>
        <v>133877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43830</v>
      </c>
      <c r="D854" s="99" t="s">
        <v>532</v>
      </c>
      <c r="E854" s="474">
        <v>14</v>
      </c>
      <c r="F854" s="99" t="s">
        <v>531</v>
      </c>
      <c r="H854" s="99">
        <f>'Справка 6'!Q14</f>
        <v>7667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43830</v>
      </c>
      <c r="D855" s="99" t="s">
        <v>535</v>
      </c>
      <c r="E855" s="474">
        <v>14</v>
      </c>
      <c r="F855" s="99" t="s">
        <v>534</v>
      </c>
      <c r="H855" s="99">
        <f>'Справка 6'!Q15</f>
        <v>14884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43830</v>
      </c>
      <c r="D856" s="99" t="s">
        <v>537</v>
      </c>
      <c r="E856" s="474">
        <v>14</v>
      </c>
      <c r="F856" s="99" t="s">
        <v>536</v>
      </c>
      <c r="H856" s="99">
        <f>'Справка 6'!Q16</f>
        <v>16338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43830</v>
      </c>
      <c r="D857" s="99" t="s">
        <v>540</v>
      </c>
      <c r="E857" s="474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43830</v>
      </c>
      <c r="D858" s="99" t="s">
        <v>543</v>
      </c>
      <c r="E858" s="474">
        <v>14</v>
      </c>
      <c r="F858" s="99" t="s">
        <v>542</v>
      </c>
      <c r="H858" s="99">
        <f>'Справка 6'!Q18</f>
        <v>99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43830</v>
      </c>
      <c r="D859" s="99" t="s">
        <v>545</v>
      </c>
      <c r="E859" s="474">
        <v>14</v>
      </c>
      <c r="F859" s="99" t="s">
        <v>804</v>
      </c>
      <c r="H859" s="99">
        <f>'Справка 6'!Q19</f>
        <v>239052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43830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43830</v>
      </c>
      <c r="D861" s="99" t="s">
        <v>549</v>
      </c>
      <c r="E861" s="474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43830</v>
      </c>
      <c r="D862" s="99" t="s">
        <v>553</v>
      </c>
      <c r="E862" s="474">
        <v>14</v>
      </c>
      <c r="F862" s="99" t="s">
        <v>552</v>
      </c>
      <c r="H862" s="99">
        <f>'Справка 6'!Q23</f>
        <v>38501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43830</v>
      </c>
      <c r="D863" s="99" t="s">
        <v>555</v>
      </c>
      <c r="E863" s="474">
        <v>14</v>
      </c>
      <c r="F863" s="99" t="s">
        <v>554</v>
      </c>
      <c r="H863" s="99">
        <f>'Справка 6'!Q24</f>
        <v>11313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43830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43830</v>
      </c>
      <c r="D865" s="99" t="s">
        <v>558</v>
      </c>
      <c r="E865" s="474">
        <v>14</v>
      </c>
      <c r="F865" s="99" t="s">
        <v>542</v>
      </c>
      <c r="H865" s="99">
        <f>'Справка 6'!Q26</f>
        <v>2362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43830</v>
      </c>
      <c r="D866" s="99" t="s">
        <v>560</v>
      </c>
      <c r="E866" s="474">
        <v>14</v>
      </c>
      <c r="F866" s="99" t="s">
        <v>838</v>
      </c>
      <c r="H866" s="99">
        <f>'Справка 6'!Q27</f>
        <v>52176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43830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43830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43830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43830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43830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43830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43830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43830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43830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43830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43830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43830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43830</v>
      </c>
      <c r="D879" s="99" t="s">
        <v>581</v>
      </c>
      <c r="E879" s="474">
        <v>14</v>
      </c>
      <c r="F879" s="99" t="s">
        <v>580</v>
      </c>
      <c r="H879" s="99">
        <f>'Справка 6'!Q41</f>
        <v>14393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43830</v>
      </c>
      <c r="D880" s="99" t="s">
        <v>583</v>
      </c>
      <c r="E880" s="474">
        <v>14</v>
      </c>
      <c r="F880" s="99" t="s">
        <v>582</v>
      </c>
      <c r="H880" s="99">
        <f>'Справка 6'!Q42</f>
        <v>305621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43830</v>
      </c>
      <c r="D881" s="99" t="s">
        <v>523</v>
      </c>
      <c r="E881" s="474">
        <v>15</v>
      </c>
      <c r="F881" s="99" t="s">
        <v>522</v>
      </c>
      <c r="H881" s="99">
        <f>'Справка 6'!R11</f>
        <v>60639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43830</v>
      </c>
      <c r="D882" s="99" t="s">
        <v>526</v>
      </c>
      <c r="E882" s="474">
        <v>15</v>
      </c>
      <c r="F882" s="99" t="s">
        <v>525</v>
      </c>
      <c r="H882" s="99">
        <f>'Справка 6'!R12</f>
        <v>157582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43830</v>
      </c>
      <c r="D883" s="99" t="s">
        <v>529</v>
      </c>
      <c r="E883" s="474">
        <v>15</v>
      </c>
      <c r="F883" s="99" t="s">
        <v>528</v>
      </c>
      <c r="H883" s="99">
        <f>'Справка 6'!R13</f>
        <v>96693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43830</v>
      </c>
      <c r="D884" s="99" t="s">
        <v>532</v>
      </c>
      <c r="E884" s="474">
        <v>15</v>
      </c>
      <c r="F884" s="99" t="s">
        <v>531</v>
      </c>
      <c r="H884" s="99">
        <f>'Справка 6'!R14</f>
        <v>13757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43830</v>
      </c>
      <c r="D885" s="99" t="s">
        <v>535</v>
      </c>
      <c r="E885" s="474">
        <v>15</v>
      </c>
      <c r="F885" s="99" t="s">
        <v>534</v>
      </c>
      <c r="H885" s="99">
        <f>'Справка 6'!R15</f>
        <v>11140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43830</v>
      </c>
      <c r="D886" s="99" t="s">
        <v>537</v>
      </c>
      <c r="E886" s="474">
        <v>15</v>
      </c>
      <c r="F886" s="99" t="s">
        <v>536</v>
      </c>
      <c r="H886" s="99">
        <f>'Справка 6'!R16</f>
        <v>8266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43830</v>
      </c>
      <c r="D887" s="99" t="s">
        <v>540</v>
      </c>
      <c r="E887" s="474">
        <v>15</v>
      </c>
      <c r="F887" s="99" t="s">
        <v>539</v>
      </c>
      <c r="H887" s="99">
        <f>'Справка 6'!R17</f>
        <v>29807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43830</v>
      </c>
      <c r="D888" s="99" t="s">
        <v>543</v>
      </c>
      <c r="E888" s="474">
        <v>15</v>
      </c>
      <c r="F888" s="99" t="s">
        <v>542</v>
      </c>
      <c r="H888" s="99">
        <f>'Справка 6'!R18</f>
        <v>386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43830</v>
      </c>
      <c r="D889" s="99" t="s">
        <v>545</v>
      </c>
      <c r="E889" s="474">
        <v>15</v>
      </c>
      <c r="F889" s="99" t="s">
        <v>804</v>
      </c>
      <c r="H889" s="99">
        <f>'Справка 6'!R19</f>
        <v>378270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43830</v>
      </c>
      <c r="D890" s="99" t="s">
        <v>547</v>
      </c>
      <c r="E890" s="474">
        <v>15</v>
      </c>
      <c r="F890" s="99" t="s">
        <v>546</v>
      </c>
      <c r="H890" s="99">
        <f>'Справка 6'!R20</f>
        <v>10856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43830</v>
      </c>
      <c r="D891" s="99" t="s">
        <v>549</v>
      </c>
      <c r="E891" s="474">
        <v>15</v>
      </c>
      <c r="F891" s="99" t="s">
        <v>548</v>
      </c>
      <c r="H891" s="99">
        <f>'Справка 6'!R21</f>
        <v>355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43830</v>
      </c>
      <c r="D892" s="99" t="s">
        <v>553</v>
      </c>
      <c r="E892" s="474">
        <v>15</v>
      </c>
      <c r="F892" s="99" t="s">
        <v>552</v>
      </c>
      <c r="H892" s="99">
        <f>'Справка 6'!R23</f>
        <v>27258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43830</v>
      </c>
      <c r="D893" s="99" t="s">
        <v>555</v>
      </c>
      <c r="E893" s="474">
        <v>15</v>
      </c>
      <c r="F893" s="99" t="s">
        <v>554</v>
      </c>
      <c r="H893" s="99">
        <f>'Справка 6'!R24</f>
        <v>10555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43830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43830</v>
      </c>
      <c r="D895" s="99" t="s">
        <v>558</v>
      </c>
      <c r="E895" s="474">
        <v>15</v>
      </c>
      <c r="F895" s="99" t="s">
        <v>542</v>
      </c>
      <c r="H895" s="99">
        <f>'Справка 6'!R26</f>
        <v>5016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43830</v>
      </c>
      <c r="D896" s="99" t="s">
        <v>560</v>
      </c>
      <c r="E896" s="474">
        <v>15</v>
      </c>
      <c r="F896" s="99" t="s">
        <v>838</v>
      </c>
      <c r="H896" s="99">
        <f>'Справка 6'!R27</f>
        <v>42829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43830</v>
      </c>
      <c r="D897" s="99" t="s">
        <v>562</v>
      </c>
      <c r="E897" s="474">
        <v>15</v>
      </c>
      <c r="F897" s="99" t="s">
        <v>561</v>
      </c>
      <c r="H897" s="99">
        <f>'Справка 6'!R29</f>
        <v>73064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43830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43830</v>
      </c>
      <c r="D899" s="99" t="s">
        <v>564</v>
      </c>
      <c r="E899" s="474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43830</v>
      </c>
      <c r="D900" s="99" t="s">
        <v>565</v>
      </c>
      <c r="E900" s="474">
        <v>15</v>
      </c>
      <c r="F900" s="99" t="s">
        <v>113</v>
      </c>
      <c r="H900" s="99">
        <f>'Справка 6'!R32</f>
        <v>62985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43830</v>
      </c>
      <c r="D901" s="99" t="s">
        <v>566</v>
      </c>
      <c r="E901" s="474">
        <v>15</v>
      </c>
      <c r="F901" s="99" t="s">
        <v>115</v>
      </c>
      <c r="H901" s="99">
        <f>'Справка 6'!R33</f>
        <v>10079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43830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43830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43830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43830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43830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43830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43830</v>
      </c>
      <c r="D908" s="99" t="s">
        <v>578</v>
      </c>
      <c r="E908" s="474">
        <v>15</v>
      </c>
      <c r="F908" s="99" t="s">
        <v>803</v>
      </c>
      <c r="H908" s="99">
        <f>'Справка 6'!R40</f>
        <v>73064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43830</v>
      </c>
      <c r="D909" s="99" t="s">
        <v>581</v>
      </c>
      <c r="E909" s="474">
        <v>15</v>
      </c>
      <c r="F909" s="99" t="s">
        <v>580</v>
      </c>
      <c r="H909" s="99">
        <f>'Справка 6'!R41</f>
        <v>15909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43830</v>
      </c>
      <c r="D910" s="99" t="s">
        <v>583</v>
      </c>
      <c r="E910" s="474">
        <v>15</v>
      </c>
      <c r="F910" s="99" t="s">
        <v>582</v>
      </c>
      <c r="H910" s="99">
        <f>'Справка 6'!R42</f>
        <v>521283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43830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43830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91794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43830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91605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43830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43830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189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43830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0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43830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0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43830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43830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0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43830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91794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43830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2421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43830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7112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43830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6048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43830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1064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43830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43830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245743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43830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9917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43830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6144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43830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2176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43830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43830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12590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43830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1334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43830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5155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43830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43830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6101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43830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5603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43830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43830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43830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43830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5603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43830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289285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43830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383500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43830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43830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43830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43830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43830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43830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43830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43830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43830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43830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43830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43830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7112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43830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6048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43830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1064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43830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43830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245743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43830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9917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43830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6144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43830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2176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43830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43830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12590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43830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1334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43830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5155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43830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43830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6101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43830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5603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43830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43830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43830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43830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5603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43830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289285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43830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289285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43830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43830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91794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43830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91605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43830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43830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189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43830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0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43830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0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43830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43830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0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43830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91794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43830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2421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43830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43830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43830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43830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43830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43830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43830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43830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43830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43830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43830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43830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43830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43830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43830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43830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43830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43830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43830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43830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43830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94215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43830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2972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43830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43830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43830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2972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43830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56832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43830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56832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43830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43830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43830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43830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43830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43830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43830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29882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43830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25840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43830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89686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43830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8196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43830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7668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43830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4561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43830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3107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43830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43830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274829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43830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274829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43830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43830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43830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43830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16730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43830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43830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43830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16730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43830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43830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139042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43830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43830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115627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43830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780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43830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12443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43830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7217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43830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1509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43830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4146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43830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1562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43830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2975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43830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45783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43830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484052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43830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581934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43830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43830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43830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43830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43830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43830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43830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43830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43830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43830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43830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43830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43830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43830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43830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43830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43830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7668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43830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4561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43830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3107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43830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43830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274829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43830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274829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43830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43830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43830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43830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16730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43830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43830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43830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16730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43830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43830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139042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43830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43830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115627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43830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780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43830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12443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43830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7217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43830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1509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43830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4146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43830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1562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43830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2975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43830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45783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43830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484052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43830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484052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43830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2972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43830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43830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43830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2972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43830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56832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43830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56832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43830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43830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43830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43830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43830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43830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43830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29882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43830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25840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43830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89686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43830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8196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43830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43830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43830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43830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43830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43830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43830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43830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43830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43830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43830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43830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43830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43830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43830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43830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43830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43830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43830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43830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43830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43830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43830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43830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43830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43830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43830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97882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43830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43830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43830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43830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43830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95415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43830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95415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43830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43830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43830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43830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43830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43830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43830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43830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43830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95415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43830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43830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43830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43830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43830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43830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194455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43830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194455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43830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43830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43830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43830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43830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43830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43830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43830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43830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43830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43830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43830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43830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43830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43830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43830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43830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43830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43830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43830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194455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43830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289870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43830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43830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43830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33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43830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33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43830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43830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43830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43830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43830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43830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43830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31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43830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31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43830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43830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43830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2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43830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2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43830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6929173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43830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43830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43830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43830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43830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6929173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43830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43830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9113467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43830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43830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43830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43830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43830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43830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9113467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43830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43830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43830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43830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43830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43830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43830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43830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43830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43830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43830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43830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43830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43830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43830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43830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43830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43830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43830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43830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43830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43830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43830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43830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43830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43830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43830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43830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43830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71192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43830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43830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43830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43830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43830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71192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43830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43830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34142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43830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43830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43830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43830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43830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43830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34142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43830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43830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43830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43830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43830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43830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43830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43830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43830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43830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43830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43830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43830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43830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43830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125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43830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43830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43830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43830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43830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125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43830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43830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43830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43830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43830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43830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43830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43830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43830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71067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43830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43830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43830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43830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43830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71067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43830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43830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34142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43830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43830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43830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43830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43830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43830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34142</v>
      </c>
    </row>
  </sheetData>
  <sheetProtection password="D554" sheet="1" objects="1" scenarios="1" insertRows="0"/>
  <customSheetViews>
    <customSheetView guid="{17A0B690-90B4-478F-B629-540D801E18FD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9453125" defaultRowHeight="14.4"/>
  <cols>
    <col min="1" max="1" width="13.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7"/>
  <sheetViews>
    <sheetView topLeftCell="A91" zoomScale="80" zoomScaleNormal="80" zoomScaleSheetLayoutView="80" workbookViewId="0">
      <selection activeCell="B98" sqref="B98:H98"/>
    </sheetView>
  </sheetViews>
  <sheetFormatPr defaultColWidth="9.3125" defaultRowHeight="15.3"/>
  <cols>
    <col min="1" max="1" width="70.68359375" style="44" customWidth="1"/>
    <col min="2" max="2" width="10.68359375" style="44" customWidth="1"/>
    <col min="3" max="4" width="15.68359375" style="44" customWidth="1"/>
    <col min="5" max="5" width="70.68359375" style="44" customWidth="1"/>
    <col min="6" max="6" width="10.68359375" style="535" customWidth="1"/>
    <col min="7" max="7" width="15.68359375" style="44" customWidth="1"/>
    <col min="8" max="8" width="15.68359375" style="41" customWidth="1"/>
    <col min="9" max="9" width="3.41796875" style="41" customWidth="1"/>
    <col min="10" max="16384" width="9.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31.12.2019 г.</v>
      </c>
      <c r="B6" s="16"/>
      <c r="C6" s="37"/>
      <c r="D6" s="16"/>
      <c r="H6" s="78"/>
    </row>
    <row r="7" spans="1:8" s="14" customFormat="1" ht="15.6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0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5.6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>
      <c r="A12" s="84" t="s">
        <v>23</v>
      </c>
      <c r="B12" s="86" t="s">
        <v>24</v>
      </c>
      <c r="C12" s="188">
        <v>60639</v>
      </c>
      <c r="D12" s="187">
        <v>54392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157582</v>
      </c>
      <c r="D13" s="187">
        <v>129185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96693</v>
      </c>
      <c r="D14" s="187">
        <v>94920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13757</v>
      </c>
      <c r="D15" s="187">
        <v>12526</v>
      </c>
      <c r="E15" s="191" t="s">
        <v>36</v>
      </c>
      <c r="F15" s="87" t="s">
        <v>37</v>
      </c>
      <c r="G15" s="188">
        <v>-34142</v>
      </c>
      <c r="H15" s="187">
        <v>-33337</v>
      </c>
    </row>
    <row r="16" spans="1:8">
      <c r="A16" s="84" t="s">
        <v>38</v>
      </c>
      <c r="B16" s="86" t="s">
        <v>39</v>
      </c>
      <c r="C16" s="188">
        <v>11140</v>
      </c>
      <c r="D16" s="187">
        <v>7763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8266</v>
      </c>
      <c r="D17" s="187">
        <v>8948</v>
      </c>
      <c r="E17" s="191" t="s">
        <v>44</v>
      </c>
      <c r="F17" s="87" t="s">
        <v>45</v>
      </c>
      <c r="G17" s="188"/>
      <c r="H17" s="187"/>
    </row>
    <row r="18" spans="1:13">
      <c r="A18" s="84" t="s">
        <v>820</v>
      </c>
      <c r="B18" s="86" t="s">
        <v>46</v>
      </c>
      <c r="C18" s="188">
        <v>29807</v>
      </c>
      <c r="D18" s="187">
        <v>16365</v>
      </c>
      <c r="E18" s="460" t="s">
        <v>47</v>
      </c>
      <c r="F18" s="459" t="s">
        <v>48</v>
      </c>
      <c r="G18" s="569">
        <f>G12+G15+G16+G17</f>
        <v>100656</v>
      </c>
      <c r="H18" s="570">
        <f>H12+H15+H16+H17</f>
        <v>101461</v>
      </c>
    </row>
    <row r="19" spans="1:13">
      <c r="A19" s="84" t="s">
        <v>49</v>
      </c>
      <c r="B19" s="86" t="s">
        <v>50</v>
      </c>
      <c r="C19" s="188">
        <v>386</v>
      </c>
      <c r="D19" s="187">
        <v>426</v>
      </c>
      <c r="E19" s="94" t="s">
        <v>51</v>
      </c>
      <c r="F19" s="89"/>
      <c r="G19" s="571"/>
      <c r="H19" s="572"/>
    </row>
    <row r="20" spans="1:13">
      <c r="A20" s="461" t="s">
        <v>52</v>
      </c>
      <c r="B20" s="90" t="s">
        <v>53</v>
      </c>
      <c r="C20" s="557">
        <f>SUM(C12:C19)</f>
        <v>378270</v>
      </c>
      <c r="D20" s="558">
        <f>SUM(D12:D19)</f>
        <v>324525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5">
        <v>10856</v>
      </c>
      <c r="D21" s="456">
        <v>10427</v>
      </c>
      <c r="E21" s="84" t="s">
        <v>58</v>
      </c>
      <c r="F21" s="87" t="s">
        <v>59</v>
      </c>
      <c r="G21" s="188">
        <v>35822</v>
      </c>
      <c r="H21" s="187">
        <v>33031</v>
      </c>
    </row>
    <row r="22" spans="1:13">
      <c r="A22" s="94" t="s">
        <v>60</v>
      </c>
      <c r="B22" s="91" t="s">
        <v>61</v>
      </c>
      <c r="C22" s="455">
        <v>355</v>
      </c>
      <c r="D22" s="456"/>
      <c r="E22" s="192" t="s">
        <v>62</v>
      </c>
      <c r="F22" s="87" t="s">
        <v>63</v>
      </c>
      <c r="G22" s="573">
        <f>SUM(G23:G25)</f>
        <v>59297</v>
      </c>
      <c r="H22" s="574">
        <f>SUM(H23:H25)</f>
        <v>55967</v>
      </c>
      <c r="M22" s="92"/>
    </row>
    <row r="23" spans="1:13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59297</v>
      </c>
      <c r="H23" s="187">
        <v>55967</v>
      </c>
    </row>
    <row r="24" spans="1:13">
      <c r="A24" s="84" t="s">
        <v>67</v>
      </c>
      <c r="B24" s="86" t="s">
        <v>68</v>
      </c>
      <c r="C24" s="188">
        <v>27258</v>
      </c>
      <c r="D24" s="187">
        <v>49768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10555</v>
      </c>
      <c r="D25" s="187">
        <v>9089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3" t="s">
        <v>77</v>
      </c>
      <c r="F26" s="89" t="s">
        <v>78</v>
      </c>
      <c r="G26" s="557">
        <f>G20+G21+G22</f>
        <v>95119</v>
      </c>
      <c r="H26" s="558">
        <f>H20+H21+H22</f>
        <v>88998</v>
      </c>
      <c r="M26" s="92"/>
    </row>
    <row r="27" spans="1:13">
      <c r="A27" s="84" t="s">
        <v>79</v>
      </c>
      <c r="B27" s="86" t="s">
        <v>80</v>
      </c>
      <c r="C27" s="188">
        <v>5016</v>
      </c>
      <c r="D27" s="187">
        <v>3338</v>
      </c>
      <c r="E27" s="94" t="s">
        <v>81</v>
      </c>
      <c r="F27" s="89"/>
      <c r="G27" s="571"/>
      <c r="H27" s="572"/>
    </row>
    <row r="28" spans="1:13">
      <c r="A28" s="461" t="s">
        <v>82</v>
      </c>
      <c r="B28" s="91" t="s">
        <v>83</v>
      </c>
      <c r="C28" s="557">
        <f>SUM(C24:C27)</f>
        <v>42829</v>
      </c>
      <c r="D28" s="558">
        <f>SUM(D24:D27)</f>
        <v>62195</v>
      </c>
      <c r="E28" s="193" t="s">
        <v>84</v>
      </c>
      <c r="F28" s="87" t="s">
        <v>85</v>
      </c>
      <c r="G28" s="555">
        <f>SUM(G29:G31)</f>
        <v>273662</v>
      </c>
      <c r="H28" s="556">
        <f>SUM(H29:H31)</f>
        <v>256758</v>
      </c>
      <c r="M28" s="92"/>
    </row>
    <row r="29" spans="1:13">
      <c r="A29" s="84"/>
      <c r="B29" s="86"/>
      <c r="C29" s="555"/>
      <c r="D29" s="556"/>
      <c r="E29" s="84" t="s">
        <v>86</v>
      </c>
      <c r="F29" s="87" t="s">
        <v>87</v>
      </c>
      <c r="G29" s="188">
        <v>273662</v>
      </c>
      <c r="H29" s="187">
        <v>259011</v>
      </c>
    </row>
    <row r="30" spans="1:13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15909</v>
      </c>
      <c r="D31" s="187">
        <v>23516</v>
      </c>
      <c r="E31" s="84" t="s">
        <v>93</v>
      </c>
      <c r="F31" s="87" t="s">
        <v>94</v>
      </c>
      <c r="G31" s="188"/>
      <c r="H31" s="187">
        <v>-2253</v>
      </c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86994</v>
      </c>
      <c r="H32" s="187">
        <v>28343</v>
      </c>
      <c r="M32" s="92"/>
    </row>
    <row r="33" spans="1:13">
      <c r="A33" s="461" t="s">
        <v>99</v>
      </c>
      <c r="B33" s="91" t="s">
        <v>100</v>
      </c>
      <c r="C33" s="557">
        <f>C31+C32</f>
        <v>15909</v>
      </c>
      <c r="D33" s="558">
        <f>D31+D32</f>
        <v>23516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360656</v>
      </c>
      <c r="H34" s="558">
        <f>H28+H32+H33</f>
        <v>285101</v>
      </c>
    </row>
    <row r="35" spans="1:13">
      <c r="A35" s="84" t="s">
        <v>106</v>
      </c>
      <c r="B35" s="88" t="s">
        <v>107</v>
      </c>
      <c r="C35" s="555">
        <f>SUM(C36:C39)</f>
        <v>73064</v>
      </c>
      <c r="D35" s="556">
        <f>SUM(D36:D39)</f>
        <v>28981</v>
      </c>
      <c r="E35" s="84"/>
      <c r="F35" s="93"/>
      <c r="G35" s="575"/>
      <c r="H35" s="576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>
      <c r="A37" s="84" t="s">
        <v>110</v>
      </c>
      <c r="B37" s="86" t="s">
        <v>111</v>
      </c>
      <c r="C37" s="188"/>
      <c r="D37" s="187">
        <v>44</v>
      </c>
      <c r="E37" s="462" t="s">
        <v>822</v>
      </c>
      <c r="F37" s="93" t="s">
        <v>112</v>
      </c>
      <c r="G37" s="559">
        <f>G26+G18+G34</f>
        <v>556431</v>
      </c>
      <c r="H37" s="560">
        <f>H26+H18+H34</f>
        <v>475560</v>
      </c>
    </row>
    <row r="38" spans="1:13">
      <c r="A38" s="84" t="s">
        <v>113</v>
      </c>
      <c r="B38" s="86" t="s">
        <v>114</v>
      </c>
      <c r="C38" s="188">
        <v>62985</v>
      </c>
      <c r="D38" s="187">
        <v>20339</v>
      </c>
      <c r="E38" s="84"/>
      <c r="F38" s="93"/>
      <c r="G38" s="575"/>
      <c r="H38" s="576"/>
      <c r="M38" s="92"/>
    </row>
    <row r="39" spans="1:13" ht="15.6" thickBot="1">
      <c r="A39" s="84" t="s">
        <v>115</v>
      </c>
      <c r="B39" s="86" t="s">
        <v>116</v>
      </c>
      <c r="C39" s="188">
        <v>10079</v>
      </c>
      <c r="D39" s="187">
        <v>8598</v>
      </c>
      <c r="E39" s="204"/>
      <c r="F39" s="205"/>
      <c r="G39" s="577"/>
      <c r="H39" s="578"/>
    </row>
    <row r="40" spans="1:13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19341</v>
      </c>
      <c r="H40" s="543">
        <v>32969</v>
      </c>
      <c r="M40" s="92"/>
    </row>
    <row r="41" spans="1:13" ht="15.6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2972</v>
      </c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56832</v>
      </c>
      <c r="H45" s="187">
        <v>41124</v>
      </c>
    </row>
    <row r="46" spans="1:13">
      <c r="A46" s="452" t="s">
        <v>137</v>
      </c>
      <c r="B46" s="90" t="s">
        <v>138</v>
      </c>
      <c r="C46" s="557">
        <f>C35+C40+C45</f>
        <v>73064</v>
      </c>
      <c r="D46" s="558">
        <f>D35+D40+D45</f>
        <v>28981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91794</v>
      </c>
      <c r="D48" s="187">
        <v>23055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6539</v>
      </c>
      <c r="D49" s="187">
        <v>2570</v>
      </c>
      <c r="E49" s="84" t="s">
        <v>150</v>
      </c>
      <c r="F49" s="87" t="s">
        <v>151</v>
      </c>
      <c r="G49" s="188">
        <v>29882</v>
      </c>
      <c r="H49" s="187">
        <v>2785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89686</v>
      </c>
      <c r="H50" s="556">
        <f>SUM(H44:H49)</f>
        <v>43909</v>
      </c>
    </row>
    <row r="51" spans="1:13">
      <c r="A51" s="84" t="s">
        <v>79</v>
      </c>
      <c r="B51" s="86" t="s">
        <v>155</v>
      </c>
      <c r="C51" s="188">
        <v>4135</v>
      </c>
      <c r="D51" s="187">
        <v>3829</v>
      </c>
      <c r="E51" s="84"/>
      <c r="F51" s="87"/>
      <c r="G51" s="555"/>
      <c r="H51" s="556"/>
    </row>
    <row r="52" spans="1:13">
      <c r="A52" s="461" t="s">
        <v>156</v>
      </c>
      <c r="B52" s="90" t="s">
        <v>157</v>
      </c>
      <c r="C52" s="557">
        <f>SUM(C48:C51)</f>
        <v>102468</v>
      </c>
      <c r="D52" s="558">
        <f>SUM(D48:D51)</f>
        <v>29454</v>
      </c>
      <c r="E52" s="192" t="s">
        <v>158</v>
      </c>
      <c r="F52" s="89" t="s">
        <v>159</v>
      </c>
      <c r="G52" s="188">
        <v>6626</v>
      </c>
      <c r="H52" s="187">
        <v>6015</v>
      </c>
    </row>
    <row r="53" spans="1:13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8196</v>
      </c>
      <c r="H54" s="187">
        <v>11781</v>
      </c>
    </row>
    <row r="55" spans="1:13">
      <c r="A55" s="94" t="s">
        <v>166</v>
      </c>
      <c r="B55" s="90" t="s">
        <v>167</v>
      </c>
      <c r="C55" s="457">
        <v>2421</v>
      </c>
      <c r="D55" s="458">
        <v>1590</v>
      </c>
      <c r="E55" s="84" t="s">
        <v>168</v>
      </c>
      <c r="F55" s="89" t="s">
        <v>169</v>
      </c>
      <c r="G55" s="188">
        <v>10940</v>
      </c>
      <c r="H55" s="187">
        <v>7470</v>
      </c>
    </row>
    <row r="56" spans="1:13" ht="15.6" thickBot="1">
      <c r="A56" s="454" t="s">
        <v>170</v>
      </c>
      <c r="B56" s="199" t="s">
        <v>171</v>
      </c>
      <c r="C56" s="561">
        <f>C20+C21+C22+C28+C33+C46+C52+C54+C55</f>
        <v>626172</v>
      </c>
      <c r="D56" s="562">
        <f>D20+D21+D22+D28+D33+D46+D52+D54+D55</f>
        <v>480688</v>
      </c>
      <c r="E56" s="94" t="s">
        <v>825</v>
      </c>
      <c r="F56" s="93" t="s">
        <v>172</v>
      </c>
      <c r="G56" s="559">
        <f>G50+G52+G53+G54+G55</f>
        <v>115448</v>
      </c>
      <c r="H56" s="560">
        <f>H50+H52+H53+H54+H55</f>
        <v>69175</v>
      </c>
      <c r="M56" s="92"/>
    </row>
    <row r="57" spans="1:13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0.6">
      <c r="A59" s="84" t="s">
        <v>176</v>
      </c>
      <c r="B59" s="86" t="s">
        <v>177</v>
      </c>
      <c r="C59" s="188">
        <v>34580</v>
      </c>
      <c r="D59" s="187">
        <v>34313</v>
      </c>
      <c r="E59" s="192" t="s">
        <v>180</v>
      </c>
      <c r="F59" s="465" t="s">
        <v>181</v>
      </c>
      <c r="G59" s="188">
        <v>274829</v>
      </c>
      <c r="H59" s="187">
        <v>242859</v>
      </c>
    </row>
    <row r="60" spans="1:13">
      <c r="A60" s="84" t="s">
        <v>178</v>
      </c>
      <c r="B60" s="86" t="s">
        <v>179</v>
      </c>
      <c r="C60" s="188">
        <v>25751</v>
      </c>
      <c r="D60" s="187">
        <v>36514</v>
      </c>
      <c r="E60" s="84" t="s">
        <v>184</v>
      </c>
      <c r="F60" s="87" t="s">
        <v>185</v>
      </c>
      <c r="G60" s="188">
        <v>16730</v>
      </c>
      <c r="H60" s="187">
        <v>14874</v>
      </c>
      <c r="M60" s="92"/>
    </row>
    <row r="61" spans="1:13">
      <c r="A61" s="84" t="s">
        <v>182</v>
      </c>
      <c r="B61" s="86" t="s">
        <v>183</v>
      </c>
      <c r="C61" s="188">
        <v>159730</v>
      </c>
      <c r="D61" s="187">
        <v>155470</v>
      </c>
      <c r="E61" s="191" t="s">
        <v>188</v>
      </c>
      <c r="F61" s="87" t="s">
        <v>189</v>
      </c>
      <c r="G61" s="555">
        <f>SUM(G62:G68)</f>
        <v>146710</v>
      </c>
      <c r="H61" s="556">
        <f>SUM(H62:H68)</f>
        <v>145794</v>
      </c>
    </row>
    <row r="62" spans="1:13">
      <c r="A62" s="84" t="s">
        <v>186</v>
      </c>
      <c r="B62" s="88" t="s">
        <v>187</v>
      </c>
      <c r="C62" s="188">
        <v>9812</v>
      </c>
      <c r="D62" s="187">
        <v>9466</v>
      </c>
      <c r="E62" s="191" t="s">
        <v>192</v>
      </c>
      <c r="F62" s="87" t="s">
        <v>193</v>
      </c>
      <c r="G62" s="188">
        <v>7668</v>
      </c>
      <c r="H62" s="187">
        <v>467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115627</v>
      </c>
      <c r="H64" s="187">
        <v>123627</v>
      </c>
      <c r="M64" s="92"/>
    </row>
    <row r="65" spans="1:13">
      <c r="A65" s="461" t="s">
        <v>52</v>
      </c>
      <c r="B65" s="90" t="s">
        <v>198</v>
      </c>
      <c r="C65" s="557">
        <f>SUM(C59:C64)</f>
        <v>229873</v>
      </c>
      <c r="D65" s="558">
        <f>SUM(D59:D64)</f>
        <v>235763</v>
      </c>
      <c r="E65" s="84" t="s">
        <v>201</v>
      </c>
      <c r="F65" s="87" t="s">
        <v>202</v>
      </c>
      <c r="G65" s="188">
        <v>780</v>
      </c>
      <c r="H65" s="187">
        <v>849</v>
      </c>
    </row>
    <row r="66" spans="1:13">
      <c r="A66" s="84"/>
      <c r="B66" s="90"/>
      <c r="C66" s="555"/>
      <c r="D66" s="556"/>
      <c r="E66" s="84" t="s">
        <v>204</v>
      </c>
      <c r="F66" s="87" t="s">
        <v>205</v>
      </c>
      <c r="G66" s="188">
        <v>12443</v>
      </c>
      <c r="H66" s="187">
        <v>11474</v>
      </c>
    </row>
    <row r="67" spans="1:13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2975</v>
      </c>
      <c r="H67" s="187">
        <v>2702</v>
      </c>
    </row>
    <row r="68" spans="1:13">
      <c r="A68" s="84" t="s">
        <v>206</v>
      </c>
      <c r="B68" s="86" t="s">
        <v>207</v>
      </c>
      <c r="C68" s="188">
        <v>7112</v>
      </c>
      <c r="D68" s="187">
        <v>9942</v>
      </c>
      <c r="E68" s="84" t="s">
        <v>212</v>
      </c>
      <c r="F68" s="87" t="s">
        <v>213</v>
      </c>
      <c r="G68" s="188">
        <v>7217</v>
      </c>
      <c r="H68" s="187">
        <v>6675</v>
      </c>
    </row>
    <row r="69" spans="1:13">
      <c r="A69" s="84" t="s">
        <v>210</v>
      </c>
      <c r="B69" s="86" t="s">
        <v>211</v>
      </c>
      <c r="C69" s="188">
        <v>245743</v>
      </c>
      <c r="D69" s="187">
        <v>224514</v>
      </c>
      <c r="E69" s="192" t="s">
        <v>79</v>
      </c>
      <c r="F69" s="87" t="s">
        <v>216</v>
      </c>
      <c r="G69" s="188">
        <v>45783</v>
      </c>
      <c r="H69" s="187">
        <v>29372</v>
      </c>
    </row>
    <row r="70" spans="1:13">
      <c r="A70" s="84" t="s">
        <v>214</v>
      </c>
      <c r="B70" s="86" t="s">
        <v>215</v>
      </c>
      <c r="C70" s="188">
        <v>9917</v>
      </c>
      <c r="D70" s="187">
        <v>11397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6144</v>
      </c>
      <c r="D71" s="187">
        <v>3303</v>
      </c>
      <c r="E71" s="453" t="s">
        <v>47</v>
      </c>
      <c r="F71" s="89" t="s">
        <v>223</v>
      </c>
      <c r="G71" s="557">
        <f>G59+G60+G61+G69+G70</f>
        <v>484052</v>
      </c>
      <c r="H71" s="558">
        <f>H59+H60+H61+H69+H70</f>
        <v>432899</v>
      </c>
    </row>
    <row r="72" spans="1:13">
      <c r="A72" s="84" t="s">
        <v>221</v>
      </c>
      <c r="B72" s="86" t="s">
        <v>222</v>
      </c>
      <c r="C72" s="188">
        <v>2176</v>
      </c>
      <c r="D72" s="187">
        <v>5804</v>
      </c>
      <c r="E72" s="191"/>
      <c r="F72" s="87"/>
      <c r="G72" s="555"/>
      <c r="H72" s="556"/>
    </row>
    <row r="73" spans="1:13">
      <c r="A73" s="84" t="s">
        <v>224</v>
      </c>
      <c r="B73" s="86" t="s">
        <v>225</v>
      </c>
      <c r="C73" s="188">
        <v>12590</v>
      </c>
      <c r="D73" s="187">
        <v>9866</v>
      </c>
      <c r="E73" s="452" t="s">
        <v>230</v>
      </c>
      <c r="F73" s="89" t="s">
        <v>231</v>
      </c>
      <c r="G73" s="457"/>
      <c r="H73" s="458"/>
    </row>
    <row r="74" spans="1:13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>
      <c r="A75" s="84" t="s">
        <v>228</v>
      </c>
      <c r="B75" s="86" t="s">
        <v>229</v>
      </c>
      <c r="C75" s="188">
        <v>5603</v>
      </c>
      <c r="D75" s="187">
        <v>1929</v>
      </c>
      <c r="E75" s="464" t="s">
        <v>160</v>
      </c>
      <c r="F75" s="89" t="s">
        <v>233</v>
      </c>
      <c r="G75" s="457"/>
      <c r="H75" s="458"/>
    </row>
    <row r="76" spans="1:13">
      <c r="A76" s="461" t="s">
        <v>77</v>
      </c>
      <c r="B76" s="90" t="s">
        <v>232</v>
      </c>
      <c r="C76" s="557">
        <f>SUM(C68:C75)</f>
        <v>289285</v>
      </c>
      <c r="D76" s="558">
        <f>SUM(D68:D75)</f>
        <v>266755</v>
      </c>
      <c r="E76" s="531"/>
      <c r="F76" s="532"/>
      <c r="G76" s="555"/>
      <c r="H76" s="581"/>
    </row>
    <row r="77" spans="1:13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484052</v>
      </c>
      <c r="H79" s="560">
        <f>H71+H73+H75+H77</f>
        <v>432899</v>
      </c>
    </row>
    <row r="80" spans="1:13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>
      <c r="A88" s="84" t="s">
        <v>252</v>
      </c>
      <c r="B88" s="86" t="s">
        <v>253</v>
      </c>
      <c r="C88" s="188">
        <v>1831</v>
      </c>
      <c r="D88" s="187">
        <v>3871</v>
      </c>
      <c r="E88" s="198"/>
      <c r="F88" s="97"/>
      <c r="G88" s="582"/>
      <c r="H88" s="583"/>
      <c r="M88" s="92"/>
    </row>
    <row r="89" spans="1:13">
      <c r="A89" s="84" t="s">
        <v>254</v>
      </c>
      <c r="B89" s="86" t="s">
        <v>255</v>
      </c>
      <c r="C89" s="188">
        <v>25531</v>
      </c>
      <c r="D89" s="187">
        <v>20258</v>
      </c>
      <c r="E89" s="195"/>
      <c r="F89" s="97"/>
      <c r="G89" s="582"/>
      <c r="H89" s="583"/>
    </row>
    <row r="90" spans="1:13">
      <c r="A90" s="84" t="s">
        <v>256</v>
      </c>
      <c r="B90" s="86" t="s">
        <v>257</v>
      </c>
      <c r="C90" s="188">
        <v>151</v>
      </c>
      <c r="D90" s="187">
        <v>1453</v>
      </c>
      <c r="E90" s="195"/>
      <c r="F90" s="97"/>
      <c r="G90" s="582"/>
      <c r="H90" s="583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>
      <c r="A92" s="461" t="s">
        <v>823</v>
      </c>
      <c r="B92" s="90" t="s">
        <v>260</v>
      </c>
      <c r="C92" s="557">
        <f>SUM(C88:C91)</f>
        <v>27513</v>
      </c>
      <c r="D92" s="558">
        <f>SUM(D88:D91)</f>
        <v>25582</v>
      </c>
      <c r="E92" s="195"/>
      <c r="F92" s="97"/>
      <c r="G92" s="582"/>
      <c r="H92" s="583"/>
      <c r="M92" s="92"/>
    </row>
    <row r="93" spans="1:13">
      <c r="A93" s="452" t="s">
        <v>261</v>
      </c>
      <c r="B93" s="90" t="s">
        <v>262</v>
      </c>
      <c r="C93" s="457">
        <v>2429</v>
      </c>
      <c r="D93" s="458">
        <v>1815</v>
      </c>
      <c r="E93" s="195"/>
      <c r="F93" s="97"/>
      <c r="G93" s="582"/>
      <c r="H93" s="583"/>
    </row>
    <row r="94" spans="1:13" ht="15.6" thickBot="1">
      <c r="A94" s="469" t="s">
        <v>263</v>
      </c>
      <c r="B94" s="217" t="s">
        <v>264</v>
      </c>
      <c r="C94" s="561">
        <f>C65+C76+C85+C92+C93</f>
        <v>549100</v>
      </c>
      <c r="D94" s="562">
        <f>D65+D76+D85+D92+D93</f>
        <v>529915</v>
      </c>
      <c r="E94" s="218"/>
      <c r="F94" s="219"/>
      <c r="G94" s="584"/>
      <c r="H94" s="585"/>
      <c r="M94" s="92"/>
    </row>
    <row r="95" spans="1:13" ht="30.3" thickBot="1">
      <c r="A95" s="466" t="s">
        <v>265</v>
      </c>
      <c r="B95" s="467" t="s">
        <v>266</v>
      </c>
      <c r="C95" s="563">
        <f>C94+C56</f>
        <v>1175272</v>
      </c>
      <c r="D95" s="564">
        <f>D94+D56</f>
        <v>1010603</v>
      </c>
      <c r="E95" s="220" t="s">
        <v>916</v>
      </c>
      <c r="F95" s="468" t="s">
        <v>268</v>
      </c>
      <c r="G95" s="563">
        <f>G37+G40+G56+G79</f>
        <v>1175272</v>
      </c>
      <c r="H95" s="564">
        <f>H37+H40+H56+H79</f>
        <v>1010603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1">
        <f>pdeReportingDate</f>
        <v>43951</v>
      </c>
      <c r="C98" s="701"/>
      <c r="D98" s="701"/>
      <c r="E98" s="701"/>
      <c r="F98" s="701"/>
      <c r="G98" s="701"/>
      <c r="H98" s="701"/>
      <c r="M98" s="92"/>
    </row>
    <row r="99" spans="1:13">
      <c r="A99" s="651"/>
      <c r="B99" s="674"/>
      <c r="C99" s="674"/>
      <c r="D99" s="674"/>
      <c r="E99" s="674"/>
      <c r="F99" s="674"/>
      <c r="G99" s="674"/>
      <c r="H99" s="674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2" t="str">
        <f>authorName</f>
        <v>Людмила Бонджова</v>
      </c>
      <c r="C101" s="702"/>
      <c r="D101" s="702"/>
      <c r="E101" s="702"/>
      <c r="F101" s="702"/>
      <c r="G101" s="702"/>
      <c r="H101" s="702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3"/>
      <c r="C104" s="703"/>
      <c r="D104" s="703"/>
      <c r="E104" s="703"/>
      <c r="F104" s="703"/>
      <c r="G104" s="703"/>
      <c r="H104" s="703"/>
    </row>
    <row r="105" spans="1:13" ht="21.75" customHeight="1">
      <c r="A105" s="653"/>
      <c r="B105" s="704" t="str">
        <f>+Начална!B17</f>
        <v>д.и.н. Огнян Донев</v>
      </c>
      <c r="C105" s="700"/>
      <c r="D105" s="700"/>
      <c r="E105" s="700"/>
      <c r="M105" s="92"/>
    </row>
    <row r="106" spans="1:13" ht="21.75" customHeight="1">
      <c r="A106" s="653"/>
      <c r="B106" s="700"/>
      <c r="C106" s="700"/>
      <c r="D106" s="700"/>
      <c r="E106" s="700"/>
    </row>
    <row r="107" spans="1:13" ht="21.75" customHeight="1">
      <c r="A107" s="653"/>
      <c r="B107" s="700"/>
      <c r="C107" s="700"/>
      <c r="D107" s="700"/>
      <c r="E107" s="700"/>
      <c r="M107" s="92"/>
    </row>
    <row r="108" spans="1:13" ht="21.75" customHeight="1">
      <c r="A108" s="653"/>
      <c r="B108" s="700"/>
      <c r="C108" s="700"/>
      <c r="D108" s="700"/>
      <c r="E108" s="700"/>
    </row>
    <row r="109" spans="1:13" ht="21.75" customHeight="1">
      <c r="A109" s="653"/>
      <c r="B109" s="700"/>
      <c r="C109" s="700"/>
      <c r="D109" s="700"/>
      <c r="E109" s="700"/>
      <c r="M109" s="92"/>
    </row>
    <row r="110" spans="1:13" ht="21.75" customHeight="1">
      <c r="A110" s="653"/>
      <c r="B110" s="700"/>
      <c r="C110" s="700"/>
      <c r="D110" s="700"/>
      <c r="E110" s="700"/>
    </row>
    <row r="111" spans="1:13" ht="21.75" customHeight="1">
      <c r="A111" s="653"/>
      <c r="B111" s="700"/>
      <c r="C111" s="700"/>
      <c r="D111" s="700"/>
      <c r="E111" s="700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17A0B690-90B4-478F-B629-540D801E18FD}" scale="80" fitToPage="1" topLeftCell="E1">
      <selection activeCell="G70" sqref="G7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07871067-5294-4FEE-88CE-4A4A5BC97EF0}" scale="80" fitToPage="1" topLeftCell="A68">
      <selection activeCell="D90" sqref="D9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F2D4D9F9-DE61-45A3-92A2-4E78F2B34B7F}" scale="80" fitToPage="1" topLeftCell="B7">
      <selection activeCell="C22" sqref="C22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5"/>
  <sheetViews>
    <sheetView view="pageBreakPreview" topLeftCell="A34" zoomScale="80" zoomScaleNormal="70" zoomScaleSheetLayoutView="80" workbookViewId="0">
      <selection activeCell="G27" sqref="G27"/>
    </sheetView>
  </sheetViews>
  <sheetFormatPr defaultColWidth="9.3125" defaultRowHeight="15.3"/>
  <cols>
    <col min="1" max="1" width="50.68359375" style="530" customWidth="1"/>
    <col min="2" max="2" width="10.68359375" style="530" customWidth="1"/>
    <col min="3" max="4" width="15.68359375" style="182" customWidth="1"/>
    <col min="5" max="5" width="50.68359375" style="530" customWidth="1"/>
    <col min="6" max="6" width="10.68359375" style="530" customWidth="1"/>
    <col min="7" max="8" width="15.68359375" style="182" customWidth="1"/>
    <col min="9" max="16384" width="9.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31.12.2019 г.</v>
      </c>
      <c r="B6" s="16"/>
      <c r="C6" s="37"/>
      <c r="D6" s="16"/>
      <c r="E6" s="26"/>
      <c r="F6" s="74"/>
      <c r="G6" s="77"/>
      <c r="H6" s="14"/>
    </row>
    <row r="7" spans="1:8" ht="15.6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0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5.6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93234</v>
      </c>
      <c r="D12" s="664">
        <v>91303</v>
      </c>
      <c r="E12" s="185" t="s">
        <v>277</v>
      </c>
      <c r="F12" s="231" t="s">
        <v>278</v>
      </c>
      <c r="G12" s="307">
        <v>288526</v>
      </c>
      <c r="H12" s="308">
        <v>250809</v>
      </c>
    </row>
    <row r="13" spans="1:8">
      <c r="A13" s="185" t="s">
        <v>279</v>
      </c>
      <c r="B13" s="181" t="s">
        <v>280</v>
      </c>
      <c r="C13" s="307">
        <v>75239</v>
      </c>
      <c r="D13" s="664">
        <v>75897</v>
      </c>
      <c r="E13" s="185" t="s">
        <v>281</v>
      </c>
      <c r="F13" s="231" t="s">
        <v>282</v>
      </c>
      <c r="G13" s="307">
        <v>993061</v>
      </c>
      <c r="H13" s="308">
        <v>928334</v>
      </c>
    </row>
    <row r="14" spans="1:8">
      <c r="A14" s="185" t="s">
        <v>283</v>
      </c>
      <c r="B14" s="181" t="s">
        <v>284</v>
      </c>
      <c r="C14" s="307">
        <v>44004</v>
      </c>
      <c r="D14" s="664">
        <v>33135</v>
      </c>
      <c r="E14" s="236" t="s">
        <v>285</v>
      </c>
      <c r="F14" s="231" t="s">
        <v>286</v>
      </c>
      <c r="G14" s="307">
        <v>7625</v>
      </c>
      <c r="H14" s="308">
        <v>9407</v>
      </c>
    </row>
    <row r="15" spans="1:8">
      <c r="A15" s="185" t="s">
        <v>287</v>
      </c>
      <c r="B15" s="181" t="s">
        <v>288</v>
      </c>
      <c r="C15" s="307">
        <v>107612</v>
      </c>
      <c r="D15" s="664">
        <v>101207</v>
      </c>
      <c r="E15" s="236" t="s">
        <v>79</v>
      </c>
      <c r="F15" s="231" t="s">
        <v>289</v>
      </c>
      <c r="G15" s="307">
        <v>3954</v>
      </c>
      <c r="H15" s="308">
        <v>1541</v>
      </c>
    </row>
    <row r="16" spans="1:8">
      <c r="A16" s="185" t="s">
        <v>290</v>
      </c>
      <c r="B16" s="181" t="s">
        <v>291</v>
      </c>
      <c r="C16" s="307">
        <v>19475</v>
      </c>
      <c r="D16" s="664">
        <v>18234</v>
      </c>
      <c r="E16" s="227" t="s">
        <v>52</v>
      </c>
      <c r="F16" s="255" t="s">
        <v>292</v>
      </c>
      <c r="G16" s="588">
        <f>SUM(G12:G15)</f>
        <v>1293166</v>
      </c>
      <c r="H16" s="589">
        <f>SUM(H12:H15)</f>
        <v>1190091</v>
      </c>
    </row>
    <row r="17" spans="1:8" ht="30.6">
      <c r="A17" s="185" t="s">
        <v>293</v>
      </c>
      <c r="B17" s="181" t="s">
        <v>294</v>
      </c>
      <c r="C17" s="307">
        <v>878504</v>
      </c>
      <c r="D17" s="664">
        <v>825571</v>
      </c>
      <c r="E17" s="236"/>
      <c r="F17" s="228"/>
      <c r="G17" s="184"/>
      <c r="H17" s="234"/>
    </row>
    <row r="18" spans="1:8" ht="30.6">
      <c r="A18" s="185" t="s">
        <v>295</v>
      </c>
      <c r="B18" s="181" t="s">
        <v>296</v>
      </c>
      <c r="C18" s="307">
        <v>3479</v>
      </c>
      <c r="D18" s="664">
        <v>-8773</v>
      </c>
      <c r="E18" s="225" t="s">
        <v>297</v>
      </c>
      <c r="F18" s="229" t="s">
        <v>298</v>
      </c>
      <c r="G18" s="599">
        <v>842</v>
      </c>
      <c r="H18" s="669">
        <v>889</v>
      </c>
    </row>
    <row r="19" spans="1:8">
      <c r="A19" s="185" t="s">
        <v>299</v>
      </c>
      <c r="B19" s="181" t="s">
        <v>300</v>
      </c>
      <c r="C19" s="307">
        <v>31718</v>
      </c>
      <c r="D19" s="664">
        <v>15449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19375</v>
      </c>
      <c r="D20" s="664">
        <v>4780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8">
        <f>SUM(C12:C18)+C19</f>
        <v>1253265</v>
      </c>
      <c r="D22" s="589">
        <f>SUM(D12:D18)+D19</f>
        <v>1152023</v>
      </c>
      <c r="E22" s="185" t="s">
        <v>309</v>
      </c>
      <c r="F22" s="228" t="s">
        <v>310</v>
      </c>
      <c r="G22" s="307">
        <v>5749</v>
      </c>
      <c r="H22" s="308">
        <v>3786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188</v>
      </c>
      <c r="H23" s="308">
        <v>96</v>
      </c>
    </row>
    <row r="24" spans="1:8" ht="30.6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3955</v>
      </c>
      <c r="H24" s="308"/>
    </row>
    <row r="25" spans="1:8" ht="30.6">
      <c r="A25" s="185" t="s">
        <v>316</v>
      </c>
      <c r="B25" s="228" t="s">
        <v>317</v>
      </c>
      <c r="C25" s="307">
        <v>11456</v>
      </c>
      <c r="D25" s="665">
        <v>7691</v>
      </c>
      <c r="E25" s="185" t="s">
        <v>318</v>
      </c>
      <c r="F25" s="228" t="s">
        <v>319</v>
      </c>
      <c r="G25" s="307">
        <v>553</v>
      </c>
      <c r="H25" s="308"/>
    </row>
    <row r="26" spans="1:8" ht="30.6">
      <c r="A26" s="185" t="s">
        <v>320</v>
      </c>
      <c r="B26" s="228" t="s">
        <v>321</v>
      </c>
      <c r="C26" s="307"/>
      <c r="D26" s="665">
        <v>11</v>
      </c>
      <c r="E26" s="185" t="s">
        <v>322</v>
      </c>
      <c r="F26" s="228" t="s">
        <v>323</v>
      </c>
      <c r="G26" s="307">
        <v>4956</v>
      </c>
      <c r="H26" s="308">
        <v>152</v>
      </c>
    </row>
    <row r="27" spans="1:8">
      <c r="A27" s="185" t="s">
        <v>324</v>
      </c>
      <c r="B27" s="228" t="s">
        <v>325</v>
      </c>
      <c r="C27" s="307"/>
      <c r="D27" s="665">
        <v>565</v>
      </c>
      <c r="E27" s="227" t="s">
        <v>104</v>
      </c>
      <c r="F27" s="229" t="s">
        <v>326</v>
      </c>
      <c r="G27" s="588">
        <f>SUM(G22:G26)</f>
        <v>15401</v>
      </c>
      <c r="H27" s="589">
        <f>SUM(H22:H26)</f>
        <v>4034</v>
      </c>
    </row>
    <row r="28" spans="1:8">
      <c r="A28" s="185" t="s">
        <v>79</v>
      </c>
      <c r="B28" s="228" t="s">
        <v>327</v>
      </c>
      <c r="C28" s="307">
        <v>935</v>
      </c>
      <c r="D28" s="665">
        <v>1461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8">
        <f>SUM(C25:C28)</f>
        <v>12391</v>
      </c>
      <c r="D29" s="589">
        <f>SUM(D25:D28)</f>
        <v>9728</v>
      </c>
      <c r="E29" s="185"/>
      <c r="F29" s="180"/>
      <c r="G29" s="184"/>
      <c r="H29" s="234"/>
    </row>
    <row r="30" spans="1:8" ht="15.6" thickBot="1">
      <c r="A30" s="246"/>
      <c r="B30" s="247"/>
      <c r="C30" s="258"/>
      <c r="D30" s="259"/>
      <c r="E30" s="248"/>
      <c r="F30" s="256"/>
      <c r="G30" s="250"/>
      <c r="H30" s="251"/>
    </row>
    <row r="31" spans="1:8" ht="30">
      <c r="A31" s="242" t="s">
        <v>329</v>
      </c>
      <c r="B31" s="222" t="s">
        <v>330</v>
      </c>
      <c r="C31" s="594">
        <f>C29+C22</f>
        <v>1265656</v>
      </c>
      <c r="D31" s="595">
        <f>D29+D22</f>
        <v>1161751</v>
      </c>
      <c r="E31" s="242" t="s">
        <v>800</v>
      </c>
      <c r="F31" s="257" t="s">
        <v>331</v>
      </c>
      <c r="G31" s="244">
        <f>G16+G18+G27</f>
        <v>1309409</v>
      </c>
      <c r="H31" s="245">
        <f>H16+H18+H27</f>
        <v>1195014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43753</v>
      </c>
      <c r="D33" s="235">
        <f>IF((H31-D31)&gt;0,H31-D31,0)</f>
        <v>33263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0">
      <c r="A34" s="230" t="s">
        <v>336</v>
      </c>
      <c r="B34" s="229" t="s">
        <v>337</v>
      </c>
      <c r="C34" s="307">
        <v>44660</v>
      </c>
      <c r="D34" s="666">
        <v>2076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5.6" thickBot="1">
      <c r="A36" s="249" t="s">
        <v>344</v>
      </c>
      <c r="B36" s="247" t="s">
        <v>345</v>
      </c>
      <c r="C36" s="596">
        <f>C31-C34+C35</f>
        <v>1220996</v>
      </c>
      <c r="D36" s="597">
        <f>D31-D34+D35</f>
        <v>1159675</v>
      </c>
      <c r="E36" s="253" t="s">
        <v>346</v>
      </c>
      <c r="F36" s="247" t="s">
        <v>347</v>
      </c>
      <c r="G36" s="258">
        <f>G35-G34+G31</f>
        <v>1309409</v>
      </c>
      <c r="H36" s="259">
        <f>H35-H34+H31</f>
        <v>1195014</v>
      </c>
    </row>
    <row r="37" spans="1:8">
      <c r="A37" s="252" t="s">
        <v>348</v>
      </c>
      <c r="B37" s="222" t="s">
        <v>349</v>
      </c>
      <c r="C37" s="594">
        <f>IF((G36-C36)&gt;0,G36-C36,0)</f>
        <v>88413</v>
      </c>
      <c r="D37" s="595">
        <f>IF((H36-D36)&gt;0,H36-D36,0)</f>
        <v>35339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8">
        <f>C39+C40+C41</f>
        <v>4054</v>
      </c>
      <c r="D38" s="589">
        <f>D39+D40+D41</f>
        <v>4702</v>
      </c>
      <c r="E38" s="237"/>
      <c r="F38" s="180"/>
      <c r="G38" s="184"/>
      <c r="H38" s="234"/>
    </row>
    <row r="39" spans="1:8" ht="30.6">
      <c r="A39" s="185" t="s">
        <v>354</v>
      </c>
      <c r="B39" s="228" t="s">
        <v>355</v>
      </c>
      <c r="C39" s="307">
        <v>4054</v>
      </c>
      <c r="D39" s="667">
        <v>4702</v>
      </c>
      <c r="E39" s="237"/>
      <c r="F39" s="180"/>
      <c r="G39" s="184"/>
      <c r="H39" s="234"/>
    </row>
    <row r="40" spans="1:8" ht="30.6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84359</v>
      </c>
      <c r="D42" s="235">
        <f>+IF((H36-D36-D38)&gt;0,H36-D36-D38,0)</f>
        <v>30637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/>
      <c r="D43" s="668">
        <v>2294</v>
      </c>
      <c r="E43" s="224" t="s">
        <v>364</v>
      </c>
      <c r="F43" s="186" t="s">
        <v>366</v>
      </c>
      <c r="G43" s="545">
        <v>2635</v>
      </c>
      <c r="H43" s="598"/>
    </row>
    <row r="44" spans="1:8" ht="15.6" thickBot="1">
      <c r="A44" s="253" t="s">
        <v>367</v>
      </c>
      <c r="B44" s="240" t="s">
        <v>368</v>
      </c>
      <c r="C44" s="258">
        <f>IF(G42=0,IF(C42-C43&gt;0,C42-C43+G43,0),IF(G42-G43&lt;0,G43-G42+C42,0))</f>
        <v>86994</v>
      </c>
      <c r="D44" s="259">
        <f>IF(H42=0,IF(D42-D43&gt;0,D42-D43+H43,0),IF(H42-H43&lt;0,H43-H42+D42,0))</f>
        <v>28343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5.6" thickBot="1">
      <c r="A45" s="261" t="s">
        <v>371</v>
      </c>
      <c r="B45" s="262" t="s">
        <v>372</v>
      </c>
      <c r="C45" s="590">
        <f>C36+C38+C42</f>
        <v>1309409</v>
      </c>
      <c r="D45" s="591">
        <f>D36+D38+D42</f>
        <v>1195014</v>
      </c>
      <c r="E45" s="261" t="s">
        <v>373</v>
      </c>
      <c r="F45" s="263" t="s">
        <v>374</v>
      </c>
      <c r="G45" s="590">
        <f>G42+G36</f>
        <v>1309409</v>
      </c>
      <c r="H45" s="591">
        <f>H42+H36</f>
        <v>1195014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5" t="s">
        <v>951</v>
      </c>
      <c r="B47" s="705"/>
      <c r="C47" s="705"/>
      <c r="D47" s="705"/>
      <c r="E47" s="705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1">
        <f>pdeReportingDate</f>
        <v>43951</v>
      </c>
      <c r="C50" s="701"/>
      <c r="D50" s="701"/>
      <c r="E50" s="701"/>
      <c r="F50" s="701"/>
      <c r="G50" s="701"/>
      <c r="H50" s="701"/>
      <c r="M50" s="92"/>
    </row>
    <row r="51" spans="1:13" s="41" customFormat="1">
      <c r="A51" s="651"/>
      <c r="B51" s="674"/>
      <c r="C51" s="674"/>
      <c r="D51" s="674"/>
      <c r="E51" s="674"/>
      <c r="F51" s="674"/>
      <c r="G51" s="674"/>
      <c r="H51" s="674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2" t="str">
        <f>authorName</f>
        <v>Людмила Бонджова</v>
      </c>
      <c r="C53" s="702"/>
      <c r="D53" s="702"/>
      <c r="E53" s="702"/>
      <c r="F53" s="702"/>
      <c r="G53" s="702"/>
      <c r="H53" s="702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3"/>
      <c r="C56" s="703"/>
      <c r="D56" s="703"/>
      <c r="E56" s="703"/>
      <c r="F56" s="703"/>
      <c r="G56" s="703"/>
      <c r="H56" s="703"/>
    </row>
    <row r="57" spans="1:13" ht="15.75" customHeight="1">
      <c r="A57" s="653"/>
      <c r="B57" s="704" t="str">
        <f>+Начална!B17</f>
        <v>д.и.н. Огнян Донев</v>
      </c>
      <c r="C57" s="700"/>
      <c r="D57" s="700"/>
      <c r="E57" s="700"/>
      <c r="F57" s="535"/>
      <c r="G57" s="44"/>
      <c r="H57" s="41"/>
    </row>
    <row r="58" spans="1:13" ht="15.75" customHeight="1">
      <c r="A58" s="653"/>
      <c r="B58" s="700"/>
      <c r="C58" s="700"/>
      <c r="D58" s="700"/>
      <c r="E58" s="700"/>
      <c r="F58" s="535"/>
      <c r="G58" s="44"/>
      <c r="H58" s="41"/>
    </row>
    <row r="59" spans="1:13" ht="15.75" customHeight="1">
      <c r="A59" s="653"/>
      <c r="B59" s="700"/>
      <c r="C59" s="700"/>
      <c r="D59" s="700"/>
      <c r="E59" s="700"/>
      <c r="F59" s="535"/>
      <c r="G59" s="44"/>
      <c r="H59" s="41"/>
    </row>
    <row r="60" spans="1:13" ht="15.75" customHeight="1">
      <c r="A60" s="653"/>
      <c r="B60" s="700"/>
      <c r="C60" s="700"/>
      <c r="D60" s="700"/>
      <c r="E60" s="700"/>
      <c r="F60" s="535"/>
      <c r="G60" s="44"/>
      <c r="H60" s="41"/>
    </row>
    <row r="61" spans="1:13">
      <c r="A61" s="653"/>
      <c r="B61" s="700"/>
      <c r="C61" s="700"/>
      <c r="D61" s="700"/>
      <c r="E61" s="700"/>
      <c r="F61" s="535"/>
      <c r="G61" s="44"/>
      <c r="H61" s="41"/>
    </row>
    <row r="62" spans="1:13">
      <c r="A62" s="653"/>
      <c r="B62" s="700"/>
      <c r="C62" s="700"/>
      <c r="D62" s="700"/>
      <c r="E62" s="700"/>
      <c r="F62" s="535"/>
      <c r="G62" s="44"/>
      <c r="H62" s="41"/>
    </row>
    <row r="63" spans="1:13">
      <c r="A63" s="653"/>
      <c r="B63" s="700"/>
      <c r="C63" s="700"/>
      <c r="D63" s="700"/>
      <c r="E63" s="700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17A0B690-90B4-478F-B629-540D801E18FD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1"/>
      <headerFooter alignWithMargins="0"/>
    </customSheetView>
    <customSheetView guid="{07871067-5294-4FEE-88CE-4A4A5BC97EF0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2"/>
      <headerFooter alignWithMargins="0"/>
    </customSheetView>
    <customSheetView guid="{F2D4D9F9-DE61-45A3-92A2-4E78F2B34B7F}" scale="80" showPageBreaks="1" fitToPage="1" printArea="1" view="pageBreakPreview" topLeftCell="A24">
      <selection activeCell="B44" sqref="B44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3"/>
      <headerFooter alignWithMargins="0"/>
    </customSheetView>
  </customSheetViews>
  <mergeCells count="11">
    <mergeCell ref="B59:E59"/>
    <mergeCell ref="B60:E60"/>
    <mergeCell ref="B61:E61"/>
    <mergeCell ref="B62:E62"/>
    <mergeCell ref="B63:E63"/>
    <mergeCell ref="B58:E58"/>
    <mergeCell ref="A47:E47"/>
    <mergeCell ref="B50:H50"/>
    <mergeCell ref="B53:H53"/>
    <mergeCell ref="B56:H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3"/>
  <sheetViews>
    <sheetView topLeftCell="A29" zoomScale="70" zoomScaleNormal="70" zoomScaleSheetLayoutView="80" workbookViewId="0">
      <selection activeCell="D5" sqref="D5"/>
    </sheetView>
  </sheetViews>
  <sheetFormatPr defaultColWidth="9.3125" defaultRowHeight="15.3"/>
  <cols>
    <col min="1" max="1" width="69.89453125" style="162" customWidth="1"/>
    <col min="2" max="2" width="11.89453125" style="162" bestFit="1" customWidth="1"/>
    <col min="3" max="4" width="22.68359375" style="175" customWidth="1"/>
    <col min="5" max="5" width="10.1015625" style="162" customWidth="1"/>
    <col min="6" max="6" width="12" style="162" customWidth="1"/>
    <col min="7" max="7" width="12.1015625" style="162" bestFit="1" customWidth="1"/>
    <col min="8" max="16384" width="9.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31.12.2019 г.</v>
      </c>
      <c r="B6" s="472"/>
      <c r="C6" s="74"/>
      <c r="D6" s="77"/>
      <c r="E6" s="161"/>
    </row>
    <row r="7" spans="1:13" ht="15.6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5.6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62">
        <v>1215433</v>
      </c>
      <c r="D11" s="187">
        <v>1201720</v>
      </c>
      <c r="E11" s="168"/>
      <c r="F11" s="168"/>
    </row>
    <row r="12" spans="1:13">
      <c r="A12" s="268" t="s">
        <v>380</v>
      </c>
      <c r="B12" s="169" t="s">
        <v>381</v>
      </c>
      <c r="C12" s="662">
        <v>-1143957</v>
      </c>
      <c r="D12" s="187">
        <v>-1142091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0.6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2">
        <v>-120315</v>
      </c>
      <c r="D14" s="187">
        <v>-110689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v>-62089</v>
      </c>
      <c r="D15" s="187">
        <v>-56168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2">
        <v>-8538</v>
      </c>
      <c r="D16" s="187">
        <v>-8180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0.6">
      <c r="A18" s="268" t="s">
        <v>392</v>
      </c>
      <c r="B18" s="169" t="s">
        <v>393</v>
      </c>
      <c r="C18" s="662">
        <v>-7988</v>
      </c>
      <c r="D18" s="187">
        <v>-6219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2">
        <v>225</v>
      </c>
      <c r="D19" s="187">
        <v>-860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2">
        <v>-1215</v>
      </c>
      <c r="D20" s="187">
        <v>-1297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5.6" thickBot="1">
      <c r="A21" s="283" t="s">
        <v>398</v>
      </c>
      <c r="B21" s="284" t="s">
        <v>399</v>
      </c>
      <c r="C21" s="617">
        <f>SUM(C11:C20)</f>
        <v>-128444</v>
      </c>
      <c r="D21" s="618">
        <f>SUM(D11:D20)</f>
        <v>-123784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2">
        <v>-40364</v>
      </c>
      <c r="D23" s="187">
        <v>-27842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2">
        <v>1061</v>
      </c>
      <c r="D24" s="187">
        <v>630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2">
        <v>-99296</v>
      </c>
      <c r="D25" s="187">
        <v>-37749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v>26810</v>
      </c>
      <c r="D26" s="187">
        <v>27811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2">
        <v>2662</v>
      </c>
      <c r="D27" s="187">
        <v>1005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2">
        <v>-8241</v>
      </c>
      <c r="D28" s="187">
        <v>-5990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2">
        <v>12976</v>
      </c>
      <c r="D29" s="187">
        <v>914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2">
        <v>190</v>
      </c>
      <c r="D30" s="187">
        <v>97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2"/>
      <c r="D32" s="187">
        <v>-54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5.6" thickBot="1">
      <c r="A33" s="283" t="s">
        <v>420</v>
      </c>
      <c r="B33" s="284" t="s">
        <v>421</v>
      </c>
      <c r="C33" s="617">
        <f>SUM(C23:C32)</f>
        <v>-104202</v>
      </c>
      <c r="D33" s="618">
        <f>SUM(D23:D32)</f>
        <v>-41178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15"/>
      <c r="D34" s="616"/>
      <c r="E34" s="168"/>
      <c r="F34" s="168"/>
    </row>
    <row r="35" spans="1:13">
      <c r="A35" s="268" t="s">
        <v>423</v>
      </c>
      <c r="B35" s="169" t="s">
        <v>424</v>
      </c>
      <c r="C35" s="662">
        <v>655</v>
      </c>
      <c r="D35" s="187">
        <v>206</v>
      </c>
      <c r="E35" s="168"/>
      <c r="F35" s="168"/>
    </row>
    <row r="36" spans="1:13">
      <c r="A36" s="269" t="s">
        <v>425</v>
      </c>
      <c r="B36" s="169" t="s">
        <v>426</v>
      </c>
      <c r="C36" s="662">
        <v>-805</v>
      </c>
      <c r="D36" s="187">
        <v>-850</v>
      </c>
      <c r="E36" s="168"/>
      <c r="F36" s="168"/>
    </row>
    <row r="37" spans="1:13">
      <c r="A37" s="268" t="s">
        <v>427</v>
      </c>
      <c r="B37" s="169" t="s">
        <v>428</v>
      </c>
      <c r="C37" s="662">
        <v>83069</v>
      </c>
      <c r="D37" s="187">
        <v>57119</v>
      </c>
      <c r="E37" s="168"/>
      <c r="F37" s="168"/>
    </row>
    <row r="38" spans="1:13">
      <c r="A38" s="268" t="s">
        <v>429</v>
      </c>
      <c r="B38" s="169" t="s">
        <v>430</v>
      </c>
      <c r="C38" s="662">
        <v>-33789</v>
      </c>
      <c r="D38" s="187">
        <v>-17184</v>
      </c>
      <c r="E38" s="168"/>
      <c r="F38" s="168"/>
    </row>
    <row r="39" spans="1:13">
      <c r="A39" s="268" t="s">
        <v>431</v>
      </c>
      <c r="B39" s="169" t="s">
        <v>432</v>
      </c>
      <c r="C39" s="662">
        <v>-13095</v>
      </c>
      <c r="D39" s="187">
        <v>-2205</v>
      </c>
      <c r="E39" s="168"/>
      <c r="F39" s="168"/>
    </row>
    <row r="40" spans="1:13" ht="30.6">
      <c r="A40" s="268" t="s">
        <v>433</v>
      </c>
      <c r="B40" s="169" t="s">
        <v>434</v>
      </c>
      <c r="C40" s="662">
        <v>-1412</v>
      </c>
      <c r="D40" s="187">
        <v>-1257</v>
      </c>
      <c r="E40" s="168"/>
      <c r="F40" s="168"/>
    </row>
    <row r="41" spans="1:13">
      <c r="A41" s="268" t="s">
        <v>435</v>
      </c>
      <c r="B41" s="169" t="s">
        <v>436</v>
      </c>
      <c r="C41" s="662">
        <v>-3495</v>
      </c>
      <c r="D41" s="187">
        <v>-22613</v>
      </c>
      <c r="E41" s="168"/>
      <c r="F41" s="168"/>
    </row>
    <row r="42" spans="1:13">
      <c r="A42" s="268" t="s">
        <v>437</v>
      </c>
      <c r="B42" s="169" t="s">
        <v>438</v>
      </c>
      <c r="C42" s="662">
        <v>204751</v>
      </c>
      <c r="D42" s="187">
        <v>153261</v>
      </c>
      <c r="E42" s="168"/>
      <c r="F42" s="168"/>
      <c r="G42" s="171"/>
      <c r="H42" s="171"/>
    </row>
    <row r="43" spans="1:13" ht="15.6" thickBot="1">
      <c r="A43" s="286" t="s">
        <v>439</v>
      </c>
      <c r="B43" s="287" t="s">
        <v>440</v>
      </c>
      <c r="C43" s="619">
        <f>SUM(C35:C42)</f>
        <v>235879</v>
      </c>
      <c r="D43" s="620">
        <f>SUM(D35:D42)</f>
        <v>166477</v>
      </c>
      <c r="E43" s="168"/>
      <c r="F43" s="168"/>
      <c r="G43" s="171"/>
      <c r="H43" s="171"/>
    </row>
    <row r="44" spans="1:13" ht="15.6" thickBot="1">
      <c r="A44" s="290" t="s">
        <v>441</v>
      </c>
      <c r="B44" s="291" t="s">
        <v>442</v>
      </c>
      <c r="C44" s="297">
        <f>C43+C33+C21</f>
        <v>3233</v>
      </c>
      <c r="D44" s="298">
        <f>D43+D33+D21</f>
        <v>1515</v>
      </c>
      <c r="E44" s="168"/>
      <c r="F44" s="168"/>
      <c r="G44" s="171"/>
      <c r="H44" s="171"/>
    </row>
    <row r="45" spans="1:13" ht="15.6" thickBot="1">
      <c r="A45" s="292" t="s">
        <v>443</v>
      </c>
      <c r="B45" s="293" t="s">
        <v>444</v>
      </c>
      <c r="C45" s="299">
        <v>24129</v>
      </c>
      <c r="D45" s="300">
        <v>22614</v>
      </c>
      <c r="E45" s="168"/>
      <c r="F45" s="168"/>
      <c r="G45" s="171"/>
      <c r="H45" s="171"/>
    </row>
    <row r="46" spans="1:13" ht="15.6" thickBot="1">
      <c r="A46" s="295" t="s">
        <v>445</v>
      </c>
      <c r="B46" s="296" t="s">
        <v>446</v>
      </c>
      <c r="C46" s="301">
        <f>C45+C44</f>
        <v>27362</v>
      </c>
      <c r="D46" s="302">
        <f>D45+D44</f>
        <v>24129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27362</v>
      </c>
      <c r="D47" s="289">
        <v>24129</v>
      </c>
      <c r="E47" s="168"/>
      <c r="F47" s="168"/>
      <c r="G47" s="171"/>
      <c r="H47" s="171"/>
    </row>
    <row r="48" spans="1:13" ht="15.6" thickBot="1">
      <c r="A48" s="270" t="s">
        <v>449</v>
      </c>
      <c r="B48" s="304" t="s">
        <v>450</v>
      </c>
      <c r="C48" s="271">
        <v>151</v>
      </c>
      <c r="D48" s="272">
        <v>1453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9" t="s">
        <v>941</v>
      </c>
      <c r="G50" s="171"/>
      <c r="H50" s="171"/>
    </row>
    <row r="51" spans="1:13">
      <c r="A51" s="706" t="s">
        <v>947</v>
      </c>
      <c r="B51" s="706"/>
      <c r="C51" s="706"/>
      <c r="D51" s="706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1">
        <f>pdeReportingDate</f>
        <v>43951</v>
      </c>
      <c r="C54" s="701"/>
      <c r="D54" s="701"/>
      <c r="E54" s="701"/>
      <c r="F54" s="654"/>
      <c r="G54" s="654"/>
      <c r="H54" s="654"/>
      <c r="M54" s="92"/>
    </row>
    <row r="55" spans="1:13" s="41" customFormat="1">
      <c r="A55" s="651"/>
      <c r="B55" s="674"/>
      <c r="C55" s="674"/>
      <c r="D55" s="674"/>
      <c r="E55" s="674"/>
      <c r="F55" s="654"/>
      <c r="G55" s="654"/>
      <c r="H55" s="654"/>
      <c r="M55" s="92"/>
    </row>
    <row r="56" spans="1:13" s="41" customFormat="1">
      <c r="A56" s="651"/>
      <c r="B56" s="701"/>
      <c r="C56" s="701"/>
      <c r="D56" s="701"/>
      <c r="E56" s="701"/>
      <c r="F56" s="51"/>
      <c r="G56" s="51"/>
      <c r="H56" s="51"/>
      <c r="M56" s="92"/>
    </row>
    <row r="57" spans="1:13" s="41" customFormat="1">
      <c r="A57" s="652" t="s">
        <v>8</v>
      </c>
      <c r="B57" s="702" t="str">
        <f>authorName</f>
        <v>Людмила Бонджова</v>
      </c>
      <c r="C57" s="702"/>
      <c r="D57" s="702"/>
      <c r="E57" s="702"/>
      <c r="F57" s="75"/>
      <c r="G57" s="75"/>
      <c r="H57" s="75"/>
    </row>
    <row r="58" spans="1:13" s="41" customFormat="1">
      <c r="A58" s="652"/>
      <c r="B58" s="675"/>
      <c r="C58" s="675"/>
      <c r="D58" s="675"/>
      <c r="E58" s="675"/>
      <c r="F58" s="675"/>
      <c r="G58" s="675"/>
      <c r="H58" s="675"/>
    </row>
    <row r="59" spans="1:13" s="41" customFormat="1">
      <c r="A59" s="652"/>
      <c r="B59" s="702"/>
      <c r="C59" s="702"/>
      <c r="D59" s="702"/>
      <c r="E59" s="702"/>
      <c r="F59" s="75"/>
      <c r="G59" s="75"/>
      <c r="H59" s="75"/>
    </row>
    <row r="60" spans="1:13" s="41" customFormat="1">
      <c r="A60" s="652" t="s">
        <v>894</v>
      </c>
      <c r="B60" s="702"/>
      <c r="C60" s="702"/>
      <c r="D60" s="702"/>
      <c r="E60" s="702"/>
      <c r="F60" s="75"/>
      <c r="G60" s="75"/>
      <c r="H60" s="75"/>
    </row>
    <row r="61" spans="1:13" s="182" customFormat="1">
      <c r="A61" s="653"/>
      <c r="B61" s="704" t="str">
        <f>+Начална!B17</f>
        <v>д.и.н. Огнян Донев</v>
      </c>
      <c r="C61" s="700"/>
      <c r="D61" s="700"/>
      <c r="E61" s="700"/>
      <c r="F61" s="535"/>
      <c r="G61" s="44"/>
      <c r="H61" s="41"/>
    </row>
    <row r="62" spans="1:13">
      <c r="A62" s="653"/>
      <c r="B62" s="700"/>
      <c r="C62" s="700"/>
      <c r="D62" s="700"/>
      <c r="E62" s="700"/>
      <c r="F62" s="535"/>
      <c r="G62" s="44"/>
      <c r="H62" s="41"/>
    </row>
    <row r="63" spans="1:13">
      <c r="A63" s="653"/>
      <c r="B63" s="700"/>
      <c r="C63" s="700"/>
      <c r="D63" s="700"/>
      <c r="E63" s="700"/>
      <c r="F63" s="535"/>
      <c r="G63" s="44"/>
      <c r="H63" s="41"/>
    </row>
    <row r="64" spans="1:13">
      <c r="A64" s="653"/>
      <c r="B64" s="700"/>
      <c r="C64" s="700"/>
      <c r="D64" s="700"/>
      <c r="E64" s="700"/>
      <c r="F64" s="535"/>
      <c r="G64" s="44"/>
      <c r="H64" s="41"/>
    </row>
    <row r="65" spans="1:8">
      <c r="A65" s="653"/>
      <c r="B65" s="700"/>
      <c r="C65" s="700"/>
      <c r="D65" s="700"/>
      <c r="E65" s="700"/>
      <c r="F65" s="535"/>
      <c r="G65" s="44"/>
      <c r="H65" s="41"/>
    </row>
    <row r="66" spans="1:8">
      <c r="A66" s="653"/>
      <c r="B66" s="700"/>
      <c r="C66" s="700"/>
      <c r="D66" s="700"/>
      <c r="E66" s="700"/>
      <c r="F66" s="535"/>
      <c r="G66" s="44"/>
      <c r="H66" s="41"/>
    </row>
    <row r="67" spans="1:8">
      <c r="A67" s="653"/>
      <c r="B67" s="700"/>
      <c r="C67" s="700"/>
      <c r="D67" s="700"/>
      <c r="E67" s="700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17A0B690-90B4-478F-B629-540D801E18FD}" scale="70" fitToPage="1">
      <selection activeCell="C17" sqref="C17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1"/>
      <headerFooter alignWithMargins="0"/>
    </customSheetView>
    <customSheetView guid="{07871067-5294-4FEE-88CE-4A4A5BC97EF0}" scale="70" fitToPage="1" topLeftCell="A22">
      <selection activeCell="I40" sqref="I4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2"/>
      <headerFooter alignWithMargins="0"/>
    </customSheetView>
    <customSheetView guid="{F2D4D9F9-DE61-45A3-92A2-4E78F2B34B7F}" scale="70" fitToPage="1" topLeftCell="A22">
      <selection activeCell="C39" sqref="C39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3"/>
      <headerFooter alignWithMargins="0"/>
    </customSheetView>
  </customSheetViews>
  <mergeCells count="13">
    <mergeCell ref="B66:E66"/>
    <mergeCell ref="B67:E67"/>
    <mergeCell ref="B54:E54"/>
    <mergeCell ref="B56:E56"/>
    <mergeCell ref="B57:E57"/>
    <mergeCell ref="B59:E59"/>
    <mergeCell ref="B60:E60"/>
    <mergeCell ref="B65:E65"/>
    <mergeCell ref="A51:D51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7"/>
  <sheetViews>
    <sheetView zoomScale="80" zoomScaleNormal="100" zoomScaleSheetLayoutView="80" workbookViewId="0">
      <pane xSplit="2" ySplit="11" topLeftCell="C21" activePane="bottomRight" state="frozen"/>
      <selection pane="topRight" activeCell="C1" sqref="C1"/>
      <selection pane="bottomLeft" activeCell="A12" sqref="A12"/>
      <selection pane="bottomRight" activeCell="L37" sqref="L37"/>
    </sheetView>
  </sheetViews>
  <sheetFormatPr defaultColWidth="9.3125" defaultRowHeight="15.3"/>
  <cols>
    <col min="1" max="1" width="50.68359375" style="523" customWidth="1"/>
    <col min="2" max="2" width="10.68359375" style="524" customWidth="1"/>
    <col min="3" max="3" width="10.68359375" style="158" customWidth="1"/>
    <col min="4" max="4" width="12.68359375" style="158" customWidth="1"/>
    <col min="5" max="8" width="11.68359375" style="158" customWidth="1"/>
    <col min="9" max="10" width="10.68359375" style="158" customWidth="1"/>
    <col min="11" max="11" width="11.1015625" style="158" customWidth="1"/>
    <col min="12" max="12" width="14.68359375" style="158" customWidth="1"/>
    <col min="13" max="13" width="16.89453125" style="158" customWidth="1"/>
    <col min="14" max="14" width="11" style="158" customWidth="1"/>
    <col min="15" max="16384" width="9.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31.12.2019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5.6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0">
      <c r="A8" s="711" t="s">
        <v>453</v>
      </c>
      <c r="B8" s="714" t="s">
        <v>454</v>
      </c>
      <c r="C8" s="707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07" t="s">
        <v>460</v>
      </c>
      <c r="L8" s="707" t="s">
        <v>461</v>
      </c>
      <c r="M8" s="492"/>
      <c r="N8" s="493"/>
    </row>
    <row r="9" spans="1:14" s="494" customFormat="1" ht="30">
      <c r="A9" s="712"/>
      <c r="B9" s="715"/>
      <c r="C9" s="708"/>
      <c r="D9" s="710" t="s">
        <v>802</v>
      </c>
      <c r="E9" s="710" t="s">
        <v>456</v>
      </c>
      <c r="F9" s="496" t="s">
        <v>457</v>
      </c>
      <c r="G9" s="496"/>
      <c r="H9" s="496"/>
      <c r="I9" s="717" t="s">
        <v>458</v>
      </c>
      <c r="J9" s="717" t="s">
        <v>459</v>
      </c>
      <c r="K9" s="708"/>
      <c r="L9" s="708"/>
      <c r="M9" s="497" t="s">
        <v>801</v>
      </c>
      <c r="N9" s="493"/>
    </row>
    <row r="10" spans="1:14" s="494" customFormat="1" ht="30">
      <c r="A10" s="713"/>
      <c r="B10" s="716"/>
      <c r="C10" s="709"/>
      <c r="D10" s="710"/>
      <c r="E10" s="710"/>
      <c r="F10" s="495" t="s">
        <v>462</v>
      </c>
      <c r="G10" s="495" t="s">
        <v>463</v>
      </c>
      <c r="H10" s="495" t="s">
        <v>464</v>
      </c>
      <c r="I10" s="709"/>
      <c r="J10" s="709"/>
      <c r="K10" s="709"/>
      <c r="L10" s="709"/>
      <c r="M10" s="498"/>
      <c r="N10" s="493"/>
    </row>
    <row r="11" spans="1:14" s="494" customFormat="1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>
      <c r="A13" s="508" t="s">
        <v>467</v>
      </c>
      <c r="B13" s="509" t="s">
        <v>468</v>
      </c>
      <c r="C13" s="544">
        <f>'1-Баланс'!H18</f>
        <v>101461</v>
      </c>
      <c r="D13" s="544">
        <f>'1-Баланс'!H20</f>
        <v>0</v>
      </c>
      <c r="E13" s="544">
        <f>'1-Баланс'!H21</f>
        <v>33031</v>
      </c>
      <c r="F13" s="544">
        <f>'1-Баланс'!H23</f>
        <v>55967</v>
      </c>
      <c r="G13" s="544">
        <f>'1-Баланс'!H24</f>
        <v>0</v>
      </c>
      <c r="H13" s="545"/>
      <c r="I13" s="544">
        <f>'1-Баланс'!H29+'1-Баланс'!H32</f>
        <v>287354</v>
      </c>
      <c r="J13" s="544">
        <f>'1-Баланс'!H30+'1-Баланс'!H33</f>
        <v>0</v>
      </c>
      <c r="K13" s="545"/>
      <c r="L13" s="544">
        <f>SUM(C13:K13)</f>
        <v>477813</v>
      </c>
      <c r="M13" s="546">
        <f>'1-Баланс'!H40</f>
        <v>32969</v>
      </c>
      <c r="N13" s="157"/>
    </row>
    <row r="14" spans="1:14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-2253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-2253</v>
      </c>
      <c r="M14" s="306">
        <f t="shared" si="0"/>
        <v>0</v>
      </c>
      <c r="N14" s="160"/>
    </row>
    <row r="15" spans="1:14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>
        <v>-2253</v>
      </c>
      <c r="J15" s="307"/>
      <c r="K15" s="307"/>
      <c r="L15" s="544">
        <f t="shared" si="1"/>
        <v>-2253</v>
      </c>
      <c r="M15" s="308"/>
      <c r="N15" s="160"/>
    </row>
    <row r="16" spans="1:14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>
      <c r="A17" s="508" t="s">
        <v>475</v>
      </c>
      <c r="B17" s="509" t="s">
        <v>476</v>
      </c>
      <c r="C17" s="612">
        <f>C13+C14</f>
        <v>101461</v>
      </c>
      <c r="D17" s="612">
        <f t="shared" ref="D17:M17" si="2">D13+D14</f>
        <v>0</v>
      </c>
      <c r="E17" s="612">
        <f t="shared" si="2"/>
        <v>33031</v>
      </c>
      <c r="F17" s="612">
        <f t="shared" si="2"/>
        <v>55967</v>
      </c>
      <c r="G17" s="612">
        <f t="shared" si="2"/>
        <v>0</v>
      </c>
      <c r="H17" s="612">
        <f t="shared" si="2"/>
        <v>0</v>
      </c>
      <c r="I17" s="612">
        <f t="shared" si="2"/>
        <v>285101</v>
      </c>
      <c r="J17" s="612">
        <f t="shared" si="2"/>
        <v>0</v>
      </c>
      <c r="K17" s="612">
        <f t="shared" si="2"/>
        <v>0</v>
      </c>
      <c r="L17" s="544">
        <f t="shared" si="1"/>
        <v>475560</v>
      </c>
      <c r="M17" s="613">
        <f t="shared" si="2"/>
        <v>32969</v>
      </c>
      <c r="N17" s="160"/>
    </row>
    <row r="18" spans="1:14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86994</v>
      </c>
      <c r="J18" s="544">
        <f>+'1-Баланс'!G33</f>
        <v>0</v>
      </c>
      <c r="K18" s="545"/>
      <c r="L18" s="544">
        <f t="shared" si="1"/>
        <v>86994</v>
      </c>
      <c r="M18" s="598">
        <v>-2635</v>
      </c>
      <c r="N18" s="160"/>
    </row>
    <row r="19" spans="1:14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3330</v>
      </c>
      <c r="G19" s="159">
        <f t="shared" si="3"/>
        <v>0</v>
      </c>
      <c r="H19" s="159">
        <f t="shared" si="3"/>
        <v>0</v>
      </c>
      <c r="I19" s="159">
        <f t="shared" si="3"/>
        <v>-9614</v>
      </c>
      <c r="J19" s="159">
        <f>J20+J21</f>
        <v>0</v>
      </c>
      <c r="K19" s="159">
        <f t="shared" si="3"/>
        <v>0</v>
      </c>
      <c r="L19" s="544">
        <f t="shared" si="1"/>
        <v>-6284</v>
      </c>
      <c r="M19" s="306">
        <f>M20+M21</f>
        <v>-3975</v>
      </c>
      <c r="N19" s="160"/>
    </row>
    <row r="20" spans="1:14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>
        <v>-6284</v>
      </c>
      <c r="J20" s="307"/>
      <c r="K20" s="307"/>
      <c r="L20" s="544">
        <f>SUM(C20:K20)</f>
        <v>-6284</v>
      </c>
      <c r="M20" s="308">
        <v>-3975</v>
      </c>
      <c r="N20" s="160"/>
    </row>
    <row r="21" spans="1:14">
      <c r="A21" s="512" t="s">
        <v>483</v>
      </c>
      <c r="B21" s="513" t="s">
        <v>484</v>
      </c>
      <c r="C21" s="307"/>
      <c r="D21" s="307"/>
      <c r="E21" s="307"/>
      <c r="F21" s="307">
        <v>3330</v>
      </c>
      <c r="G21" s="307"/>
      <c r="H21" s="307"/>
      <c r="I21" s="307">
        <v>-3330</v>
      </c>
      <c r="J21" s="307"/>
      <c r="K21" s="307"/>
      <c r="L21" s="544">
        <f t="shared" si="1"/>
        <v>0</v>
      </c>
      <c r="M21" s="308"/>
      <c r="N21" s="160"/>
    </row>
    <row r="22" spans="1:14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0.6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176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176</v>
      </c>
      <c r="M23" s="306">
        <f t="shared" si="4"/>
        <v>0</v>
      </c>
      <c r="N23" s="160"/>
    </row>
    <row r="24" spans="1:14">
      <c r="A24" s="510" t="s">
        <v>489</v>
      </c>
      <c r="B24" s="511" t="s">
        <v>490</v>
      </c>
      <c r="C24" s="307"/>
      <c r="D24" s="307"/>
      <c r="E24" s="307">
        <v>176</v>
      </c>
      <c r="F24" s="307"/>
      <c r="G24" s="307"/>
      <c r="H24" s="307"/>
      <c r="I24" s="307"/>
      <c r="J24" s="307"/>
      <c r="K24" s="307"/>
      <c r="L24" s="544">
        <f t="shared" si="1"/>
        <v>176</v>
      </c>
      <c r="M24" s="308"/>
      <c r="N24" s="160"/>
    </row>
    <row r="25" spans="1:14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0.6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-60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-60</v>
      </c>
      <c r="M26" s="306">
        <f t="shared" si="5"/>
        <v>0</v>
      </c>
      <c r="N26" s="160"/>
    </row>
    <row r="27" spans="1:14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>
      <c r="A28" s="510" t="s">
        <v>491</v>
      </c>
      <c r="B28" s="511" t="s">
        <v>496</v>
      </c>
      <c r="C28" s="307"/>
      <c r="D28" s="307"/>
      <c r="E28" s="307">
        <v>60</v>
      </c>
      <c r="F28" s="307"/>
      <c r="G28" s="307"/>
      <c r="H28" s="307"/>
      <c r="I28" s="307"/>
      <c r="J28" s="307"/>
      <c r="K28" s="307"/>
      <c r="L28" s="544">
        <f t="shared" si="1"/>
        <v>60</v>
      </c>
      <c r="M28" s="308"/>
      <c r="N28" s="160"/>
    </row>
    <row r="29" spans="1:14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>
      <c r="A30" s="510" t="s">
        <v>499</v>
      </c>
      <c r="B30" s="511" t="s">
        <v>500</v>
      </c>
      <c r="C30" s="307">
        <v>-805</v>
      </c>
      <c r="D30" s="307"/>
      <c r="E30" s="307">
        <v>2675</v>
      </c>
      <c r="F30" s="307"/>
      <c r="G30" s="307"/>
      <c r="H30" s="307"/>
      <c r="I30" s="307">
        <v>-1825</v>
      </c>
      <c r="J30" s="307"/>
      <c r="K30" s="307"/>
      <c r="L30" s="544">
        <f t="shared" si="1"/>
        <v>45</v>
      </c>
      <c r="M30" s="308">
        <v>-7018</v>
      </c>
      <c r="N30" s="160"/>
    </row>
    <row r="31" spans="1:14">
      <c r="A31" s="508" t="s">
        <v>501</v>
      </c>
      <c r="B31" s="509" t="s">
        <v>502</v>
      </c>
      <c r="C31" s="612">
        <f>C19+C22+C23+C26+C30+C29+C17+C18</f>
        <v>100656</v>
      </c>
      <c r="D31" s="612">
        <f t="shared" ref="D31:M31" si="6">D19+D22+D23+D26+D30+D29+D17+D18</f>
        <v>0</v>
      </c>
      <c r="E31" s="612">
        <f t="shared" si="6"/>
        <v>35822</v>
      </c>
      <c r="F31" s="612">
        <f t="shared" si="6"/>
        <v>59297</v>
      </c>
      <c r="G31" s="612">
        <f t="shared" si="6"/>
        <v>0</v>
      </c>
      <c r="H31" s="612">
        <f t="shared" si="6"/>
        <v>0</v>
      </c>
      <c r="I31" s="612">
        <f t="shared" si="6"/>
        <v>360656</v>
      </c>
      <c r="J31" s="612">
        <f t="shared" si="6"/>
        <v>0</v>
      </c>
      <c r="K31" s="612">
        <f t="shared" si="6"/>
        <v>0</v>
      </c>
      <c r="L31" s="544">
        <f t="shared" si="1"/>
        <v>556431</v>
      </c>
      <c r="M31" s="613">
        <f t="shared" si="6"/>
        <v>19341</v>
      </c>
      <c r="N31" s="157"/>
    </row>
    <row r="32" spans="1:14" ht="30.6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0.9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0.3" thickBot="1">
      <c r="A34" s="516" t="s">
        <v>507</v>
      </c>
      <c r="B34" s="517" t="s">
        <v>508</v>
      </c>
      <c r="C34" s="547">
        <f t="shared" ref="C34:K34" si="7">C31+C32+C33</f>
        <v>100656</v>
      </c>
      <c r="D34" s="547">
        <f t="shared" si="7"/>
        <v>0</v>
      </c>
      <c r="E34" s="547">
        <f t="shared" si="7"/>
        <v>35822</v>
      </c>
      <c r="F34" s="547">
        <f t="shared" si="7"/>
        <v>59297</v>
      </c>
      <c r="G34" s="547">
        <f t="shared" si="7"/>
        <v>0</v>
      </c>
      <c r="H34" s="547">
        <f t="shared" si="7"/>
        <v>0</v>
      </c>
      <c r="I34" s="547">
        <f t="shared" si="7"/>
        <v>360656</v>
      </c>
      <c r="J34" s="547">
        <f t="shared" si="7"/>
        <v>0</v>
      </c>
      <c r="K34" s="547">
        <f t="shared" si="7"/>
        <v>0</v>
      </c>
      <c r="L34" s="610">
        <f t="shared" si="1"/>
        <v>556431</v>
      </c>
      <c r="M34" s="548">
        <f>M31+M32+M33</f>
        <v>19341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1">
        <f>pdeReportingDate</f>
        <v>43951</v>
      </c>
      <c r="C38" s="701"/>
      <c r="D38" s="701"/>
      <c r="E38" s="701"/>
      <c r="F38" s="701"/>
      <c r="G38" s="701"/>
      <c r="H38" s="701"/>
      <c r="M38" s="160"/>
    </row>
    <row r="39" spans="1:14">
      <c r="A39" s="651"/>
      <c r="B39" s="674"/>
      <c r="C39" s="674"/>
      <c r="D39" s="674"/>
      <c r="E39" s="674"/>
      <c r="F39" s="674"/>
      <c r="G39" s="674"/>
      <c r="H39" s="674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2" t="str">
        <f>authorName</f>
        <v>Людмила Бонджова</v>
      </c>
      <c r="C41" s="702"/>
      <c r="D41" s="702"/>
      <c r="E41" s="702"/>
      <c r="F41" s="702"/>
      <c r="G41" s="702"/>
      <c r="H41" s="702"/>
      <c r="M41" s="160"/>
    </row>
    <row r="42" spans="1:14">
      <c r="A42" s="652"/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3"/>
      <c r="C44" s="703"/>
      <c r="D44" s="703"/>
      <c r="E44" s="703"/>
      <c r="F44" s="703"/>
      <c r="G44" s="703"/>
      <c r="H44" s="703"/>
      <c r="M44" s="160"/>
    </row>
    <row r="45" spans="1:14">
      <c r="A45" s="653"/>
      <c r="B45" s="704" t="str">
        <f>+Начална!B17</f>
        <v>д.и.н. Огнян Донев</v>
      </c>
      <c r="C45" s="700"/>
      <c r="D45" s="700"/>
      <c r="E45" s="700"/>
      <c r="F45" s="535"/>
      <c r="G45" s="44"/>
      <c r="H45" s="41"/>
      <c r="M45" s="160"/>
    </row>
    <row r="46" spans="1:14">
      <c r="A46" s="653"/>
      <c r="B46" s="700"/>
      <c r="C46" s="700"/>
      <c r="D46" s="700"/>
      <c r="E46" s="700"/>
      <c r="F46" s="535"/>
      <c r="G46" s="44"/>
      <c r="H46" s="41"/>
      <c r="M46" s="160"/>
    </row>
    <row r="47" spans="1:14">
      <c r="A47" s="653"/>
      <c r="B47" s="700"/>
      <c r="C47" s="700"/>
      <c r="D47" s="700"/>
      <c r="E47" s="700"/>
      <c r="F47" s="535"/>
      <c r="G47" s="44"/>
      <c r="H47" s="41"/>
      <c r="M47" s="160"/>
    </row>
    <row r="48" spans="1:14">
      <c r="A48" s="653"/>
      <c r="B48" s="700"/>
      <c r="C48" s="700"/>
      <c r="D48" s="700"/>
      <c r="E48" s="700"/>
      <c r="F48" s="535"/>
      <c r="G48" s="44"/>
      <c r="H48" s="41"/>
      <c r="M48" s="160"/>
    </row>
    <row r="49" spans="1:13">
      <c r="A49" s="653"/>
      <c r="B49" s="700"/>
      <c r="C49" s="700"/>
      <c r="D49" s="700"/>
      <c r="E49" s="700"/>
      <c r="F49" s="535"/>
      <c r="G49" s="44"/>
      <c r="H49" s="41"/>
      <c r="M49" s="160"/>
    </row>
    <row r="50" spans="1:13">
      <c r="A50" s="653"/>
      <c r="B50" s="700"/>
      <c r="C50" s="700"/>
      <c r="D50" s="700"/>
      <c r="E50" s="700"/>
      <c r="F50" s="535"/>
      <c r="G50" s="44"/>
      <c r="H50" s="41"/>
      <c r="M50" s="160"/>
    </row>
    <row r="51" spans="1:13">
      <c r="A51" s="653"/>
      <c r="B51" s="700"/>
      <c r="C51" s="700"/>
      <c r="D51" s="700"/>
      <c r="E51" s="700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17A0B690-90B4-478F-B629-540D801E18FD}" scale="80">
      <pane xSplit="2" ySplit="11" topLeftCell="G15" activePane="bottomRight" state="frozen"/>
      <selection pane="bottomRight" activeCell="M31" sqref="M31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07871067-5294-4FEE-88CE-4A4A5BC97EF0}" scale="80">
      <pane xSplit="2" ySplit="11" topLeftCell="G24" activePane="bottomRight" state="frozen"/>
      <selection pane="bottomRight" activeCell="K41" sqref="K41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F2D4D9F9-DE61-45A3-92A2-4E78F2B34B7F}" scale="80">
      <pane xSplit="2" ySplit="11" topLeftCell="J33" activePane="bottomRight" state="frozen"/>
      <selection pane="bottomRight" activeCell="N22" sqref="N22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235"/>
  <sheetViews>
    <sheetView topLeftCell="A2" zoomScale="80" zoomScaleNormal="85" zoomScaleSheetLayoutView="80" workbookViewId="0">
      <selection activeCell="A7" sqref="A7:B42 R7:R42"/>
    </sheetView>
  </sheetViews>
  <sheetFormatPr defaultColWidth="10.68359375" defaultRowHeight="15.3"/>
  <cols>
    <col min="1" max="1" width="4.68359375" style="38" customWidth="1"/>
    <col min="2" max="2" width="55.68359375" style="38" customWidth="1"/>
    <col min="3" max="9" width="10.68359375" style="38" customWidth="1"/>
    <col min="10" max="10" width="13.68359375" style="38" customWidth="1"/>
    <col min="11" max="16" width="10.68359375" style="38" customWidth="1"/>
    <col min="17" max="18" width="14.68359375" style="38" customWidth="1"/>
    <col min="19" max="19" width="10.68359375" style="38"/>
    <col min="20" max="20" width="11.41796875" style="38" bestFit="1" customWidth="1"/>
    <col min="21" max="16384" width="10.6835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31.12.2019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5.6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15">
      <c r="A7" s="722" t="s">
        <v>453</v>
      </c>
      <c r="B7" s="723"/>
      <c r="C7" s="726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18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18" t="s">
        <v>513</v>
      </c>
      <c r="R7" s="720" t="s">
        <v>514</v>
      </c>
    </row>
    <row r="8" spans="1:21" s="119" customFormat="1" ht="66.75" customHeight="1">
      <c r="A8" s="724"/>
      <c r="B8" s="725"/>
      <c r="C8" s="727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19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19"/>
      <c r="R8" s="721"/>
    </row>
    <row r="9" spans="1:21" s="119" customFormat="1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21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21">
      <c r="A11" s="327" t="s">
        <v>521</v>
      </c>
      <c r="B11" s="312" t="s">
        <v>522</v>
      </c>
      <c r="C11" s="143" t="s">
        <v>523</v>
      </c>
      <c r="D11" s="319">
        <v>54392</v>
      </c>
      <c r="E11" s="319">
        <v>6505</v>
      </c>
      <c r="F11" s="319">
        <v>112</v>
      </c>
      <c r="G11" s="659">
        <f>D11+E11-F11</f>
        <v>60785</v>
      </c>
      <c r="H11" s="319"/>
      <c r="I11" s="319">
        <v>145</v>
      </c>
      <c r="J11" s="659">
        <f>G11+H11-I11</f>
        <v>60640</v>
      </c>
      <c r="K11" s="319">
        <v>0</v>
      </c>
      <c r="L11" s="319">
        <v>1</v>
      </c>
      <c r="M11" s="319"/>
      <c r="N11" s="659">
        <f>K11+L11-M11</f>
        <v>1</v>
      </c>
      <c r="O11" s="319"/>
      <c r="P11" s="319"/>
      <c r="Q11" s="659">
        <f t="shared" ref="Q11:Q27" si="0">N11+O11-P11</f>
        <v>1</v>
      </c>
      <c r="R11" s="686">
        <f t="shared" ref="R11:R27" si="1">J11-Q11</f>
        <v>60639</v>
      </c>
      <c r="U11" s="676"/>
    </row>
    <row r="12" spans="1:21">
      <c r="A12" s="327" t="s">
        <v>524</v>
      </c>
      <c r="B12" s="312" t="s">
        <v>525</v>
      </c>
      <c r="C12" s="143" t="s">
        <v>526</v>
      </c>
      <c r="D12" s="319">
        <v>180843</v>
      </c>
      <c r="E12" s="319">
        <v>51061</v>
      </c>
      <c r="F12" s="319">
        <v>7944</v>
      </c>
      <c r="G12" s="659">
        <f t="shared" ref="G12:G41" si="2">D12+E12-F12</f>
        <v>223960</v>
      </c>
      <c r="H12" s="319"/>
      <c r="I12" s="319">
        <v>192</v>
      </c>
      <c r="J12" s="659">
        <f t="shared" ref="J12:J41" si="3">G12+H12-I12</f>
        <v>223768</v>
      </c>
      <c r="K12" s="319">
        <v>51658</v>
      </c>
      <c r="L12" s="319">
        <v>16075</v>
      </c>
      <c r="M12" s="319">
        <v>1500</v>
      </c>
      <c r="N12" s="659">
        <f t="shared" ref="N12:N41" si="4">K12+L12-M12</f>
        <v>66233</v>
      </c>
      <c r="O12" s="319"/>
      <c r="P12" s="319">
        <v>47</v>
      </c>
      <c r="Q12" s="659">
        <f t="shared" si="0"/>
        <v>66186</v>
      </c>
      <c r="R12" s="686">
        <f t="shared" si="1"/>
        <v>157582</v>
      </c>
      <c r="U12" s="676"/>
    </row>
    <row r="13" spans="1:21">
      <c r="A13" s="327" t="s">
        <v>527</v>
      </c>
      <c r="B13" s="312" t="s">
        <v>528</v>
      </c>
      <c r="C13" s="143" t="s">
        <v>529</v>
      </c>
      <c r="D13" s="319">
        <v>219022</v>
      </c>
      <c r="E13" s="319">
        <v>14856</v>
      </c>
      <c r="F13" s="319">
        <v>3308</v>
      </c>
      <c r="G13" s="659">
        <f t="shared" si="2"/>
        <v>230570</v>
      </c>
      <c r="H13" s="319"/>
      <c r="I13" s="319"/>
      <c r="J13" s="659">
        <f t="shared" si="3"/>
        <v>230570</v>
      </c>
      <c r="K13" s="319">
        <v>124102</v>
      </c>
      <c r="L13" s="319">
        <v>12783</v>
      </c>
      <c r="M13" s="319">
        <v>3008</v>
      </c>
      <c r="N13" s="659">
        <f t="shared" si="4"/>
        <v>133877</v>
      </c>
      <c r="O13" s="319"/>
      <c r="P13" s="319"/>
      <c r="Q13" s="659">
        <f t="shared" si="0"/>
        <v>133877</v>
      </c>
      <c r="R13" s="686">
        <f t="shared" si="1"/>
        <v>96693</v>
      </c>
      <c r="U13" s="676"/>
    </row>
    <row r="14" spans="1:21">
      <c r="A14" s="327" t="s">
        <v>530</v>
      </c>
      <c r="B14" s="312" t="s">
        <v>531</v>
      </c>
      <c r="C14" s="143" t="s">
        <v>532</v>
      </c>
      <c r="D14" s="319">
        <v>18903</v>
      </c>
      <c r="E14" s="319">
        <v>2532</v>
      </c>
      <c r="F14" s="319">
        <v>11</v>
      </c>
      <c r="G14" s="659">
        <f t="shared" si="2"/>
        <v>21424</v>
      </c>
      <c r="H14" s="319"/>
      <c r="I14" s="319"/>
      <c r="J14" s="659">
        <f t="shared" si="3"/>
        <v>21424</v>
      </c>
      <c r="K14" s="319">
        <v>6377</v>
      </c>
      <c r="L14" s="319">
        <v>1295</v>
      </c>
      <c r="M14" s="319">
        <v>5</v>
      </c>
      <c r="N14" s="659">
        <f t="shared" si="4"/>
        <v>7667</v>
      </c>
      <c r="O14" s="319"/>
      <c r="P14" s="319"/>
      <c r="Q14" s="659">
        <f>N14+O14-P14</f>
        <v>7667</v>
      </c>
      <c r="R14" s="686">
        <f t="shared" si="1"/>
        <v>13757</v>
      </c>
      <c r="U14" s="676"/>
    </row>
    <row r="15" spans="1:21">
      <c r="A15" s="327" t="s">
        <v>533</v>
      </c>
      <c r="B15" s="312" t="s">
        <v>534</v>
      </c>
      <c r="C15" s="143" t="s">
        <v>535</v>
      </c>
      <c r="D15" s="319">
        <v>20529</v>
      </c>
      <c r="E15" s="319">
        <v>7492</v>
      </c>
      <c r="F15" s="319">
        <v>1997</v>
      </c>
      <c r="G15" s="659">
        <f t="shared" si="2"/>
        <v>26024</v>
      </c>
      <c r="H15" s="319"/>
      <c r="I15" s="319"/>
      <c r="J15" s="659">
        <f t="shared" si="3"/>
        <v>26024</v>
      </c>
      <c r="K15" s="319">
        <v>12766</v>
      </c>
      <c r="L15" s="319">
        <v>3709</v>
      </c>
      <c r="M15" s="319">
        <v>1591</v>
      </c>
      <c r="N15" s="659">
        <f t="shared" si="4"/>
        <v>14884</v>
      </c>
      <c r="O15" s="319"/>
      <c r="P15" s="319"/>
      <c r="Q15" s="659">
        <f t="shared" si="0"/>
        <v>14884</v>
      </c>
      <c r="R15" s="686">
        <f t="shared" si="1"/>
        <v>11140</v>
      </c>
      <c r="U15" s="676"/>
    </row>
    <row r="16" spans="1:21">
      <c r="A16" s="344" t="s">
        <v>814</v>
      </c>
      <c r="B16" s="312" t="s">
        <v>536</v>
      </c>
      <c r="C16" s="143" t="s">
        <v>537</v>
      </c>
      <c r="D16" s="319">
        <v>23749</v>
      </c>
      <c r="E16" s="319">
        <v>1467</v>
      </c>
      <c r="F16" s="319">
        <v>612</v>
      </c>
      <c r="G16" s="659">
        <f t="shared" si="2"/>
        <v>24604</v>
      </c>
      <c r="H16" s="319"/>
      <c r="I16" s="319"/>
      <c r="J16" s="659">
        <f>G16+H16-I16</f>
        <v>24604</v>
      </c>
      <c r="K16" s="319">
        <f>14825-24</f>
        <v>14801</v>
      </c>
      <c r="L16" s="319">
        <v>1964</v>
      </c>
      <c r="M16" s="319">
        <v>427</v>
      </c>
      <c r="N16" s="659">
        <f t="shared" si="4"/>
        <v>16338</v>
      </c>
      <c r="O16" s="319"/>
      <c r="P16" s="319"/>
      <c r="Q16" s="659">
        <f t="shared" si="0"/>
        <v>16338</v>
      </c>
      <c r="R16" s="686">
        <f t="shared" si="1"/>
        <v>8266</v>
      </c>
      <c r="U16" s="676"/>
    </row>
    <row r="17" spans="1:21" s="145" customFormat="1" ht="33.6" customHeight="1">
      <c r="A17" s="327" t="s">
        <v>538</v>
      </c>
      <c r="B17" s="146" t="s">
        <v>539</v>
      </c>
      <c r="C17" s="144" t="s">
        <v>540</v>
      </c>
      <c r="D17" s="319">
        <v>16365</v>
      </c>
      <c r="E17" s="319">
        <v>31405</v>
      </c>
      <c r="F17" s="319">
        <v>17963</v>
      </c>
      <c r="G17" s="659">
        <f t="shared" si="2"/>
        <v>29807</v>
      </c>
      <c r="H17" s="319"/>
      <c r="I17" s="319"/>
      <c r="J17" s="659">
        <f t="shared" si="3"/>
        <v>29807</v>
      </c>
      <c r="K17" s="319"/>
      <c r="L17" s="319"/>
      <c r="M17" s="319"/>
      <c r="N17" s="659">
        <f t="shared" si="4"/>
        <v>0</v>
      </c>
      <c r="O17" s="319"/>
      <c r="P17" s="319"/>
      <c r="Q17" s="659">
        <f t="shared" si="0"/>
        <v>0</v>
      </c>
      <c r="R17" s="686">
        <f t="shared" si="1"/>
        <v>29807</v>
      </c>
      <c r="S17" s="38"/>
      <c r="U17" s="699"/>
    </row>
    <row r="18" spans="1:21">
      <c r="A18" s="327" t="s">
        <v>541</v>
      </c>
      <c r="B18" s="146" t="s">
        <v>542</v>
      </c>
      <c r="C18" s="143" t="s">
        <v>543</v>
      </c>
      <c r="D18" s="319">
        <v>450</v>
      </c>
      <c r="E18" s="319">
        <v>35</v>
      </c>
      <c r="F18" s="319"/>
      <c r="G18" s="659">
        <f t="shared" si="2"/>
        <v>485</v>
      </c>
      <c r="H18" s="319"/>
      <c r="I18" s="319"/>
      <c r="J18" s="659">
        <f t="shared" si="3"/>
        <v>485</v>
      </c>
      <c r="K18" s="319">
        <v>24</v>
      </c>
      <c r="L18" s="319">
        <v>75</v>
      </c>
      <c r="M18" s="319"/>
      <c r="N18" s="659">
        <f t="shared" si="4"/>
        <v>99</v>
      </c>
      <c r="O18" s="319"/>
      <c r="P18" s="319"/>
      <c r="Q18" s="659">
        <f t="shared" si="0"/>
        <v>99</v>
      </c>
      <c r="R18" s="686">
        <f t="shared" si="1"/>
        <v>386</v>
      </c>
      <c r="U18" s="676"/>
    </row>
    <row r="19" spans="1:21">
      <c r="A19" s="327"/>
      <c r="B19" s="313" t="s">
        <v>544</v>
      </c>
      <c r="C19" s="147" t="s">
        <v>545</v>
      </c>
      <c r="D19" s="693">
        <f>SUM(D11:D18)</f>
        <v>534253</v>
      </c>
      <c r="E19" s="693">
        <f>SUM(E11:E18)</f>
        <v>115353</v>
      </c>
      <c r="F19" s="693">
        <f>SUM(F11:F18)</f>
        <v>31947</v>
      </c>
      <c r="G19" s="677">
        <f t="shared" si="2"/>
        <v>617659</v>
      </c>
      <c r="H19" s="678">
        <f>SUM(H11:H18)</f>
        <v>0</v>
      </c>
      <c r="I19" s="678">
        <f>SUM(I11:I18)</f>
        <v>337</v>
      </c>
      <c r="J19" s="684">
        <f t="shared" si="3"/>
        <v>617322</v>
      </c>
      <c r="K19" s="678">
        <f>SUM(K11:K18)</f>
        <v>209728</v>
      </c>
      <c r="L19" s="678">
        <f>SUM(L11:L18)</f>
        <v>35902</v>
      </c>
      <c r="M19" s="678">
        <f>SUM(M11:M18)</f>
        <v>6531</v>
      </c>
      <c r="N19" s="684">
        <f t="shared" si="4"/>
        <v>239099</v>
      </c>
      <c r="O19" s="678">
        <f>SUM(O11:O18)</f>
        <v>0</v>
      </c>
      <c r="P19" s="678">
        <f>SUM(P11:P18)</f>
        <v>47</v>
      </c>
      <c r="Q19" s="684">
        <f t="shared" si="0"/>
        <v>239052</v>
      </c>
      <c r="R19" s="687">
        <f t="shared" si="1"/>
        <v>378270</v>
      </c>
    </row>
    <row r="20" spans="1:21">
      <c r="A20" s="328" t="s">
        <v>816</v>
      </c>
      <c r="B20" s="314" t="s">
        <v>546</v>
      </c>
      <c r="C20" s="147" t="s">
        <v>547</v>
      </c>
      <c r="D20" s="319">
        <v>10427</v>
      </c>
      <c r="E20" s="319">
        <v>22</v>
      </c>
      <c r="F20" s="319"/>
      <c r="G20" s="659">
        <f t="shared" si="2"/>
        <v>10449</v>
      </c>
      <c r="H20" s="319">
        <v>407</v>
      </c>
      <c r="I20" s="319"/>
      <c r="J20" s="659">
        <f t="shared" si="3"/>
        <v>10856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6">
        <f t="shared" si="1"/>
        <v>10856</v>
      </c>
    </row>
    <row r="21" spans="1:21">
      <c r="A21" s="326" t="s">
        <v>805</v>
      </c>
      <c r="B21" s="314" t="s">
        <v>548</v>
      </c>
      <c r="C21" s="147" t="s">
        <v>549</v>
      </c>
      <c r="D21" s="319"/>
      <c r="E21" s="319">
        <v>162</v>
      </c>
      <c r="F21" s="319"/>
      <c r="G21" s="659">
        <f t="shared" si="2"/>
        <v>162</v>
      </c>
      <c r="H21" s="319">
        <v>196</v>
      </c>
      <c r="I21" s="319">
        <v>3</v>
      </c>
      <c r="J21" s="659">
        <f t="shared" si="3"/>
        <v>355</v>
      </c>
      <c r="K21" s="319"/>
      <c r="L21" s="319"/>
      <c r="M21" s="319"/>
      <c r="N21" s="659">
        <f t="shared" si="4"/>
        <v>0</v>
      </c>
      <c r="O21" s="319"/>
      <c r="P21" s="319"/>
      <c r="Q21" s="659">
        <f t="shared" si="0"/>
        <v>0</v>
      </c>
      <c r="R21" s="686">
        <f t="shared" si="1"/>
        <v>355</v>
      </c>
    </row>
    <row r="22" spans="1:21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9"/>
      <c r="I22" s="679"/>
      <c r="J22" s="659">
        <f t="shared" si="3"/>
        <v>0</v>
      </c>
      <c r="K22" s="679"/>
      <c r="L22" s="679"/>
      <c r="M22" s="679"/>
      <c r="N22" s="659">
        <f t="shared" si="4"/>
        <v>0</v>
      </c>
      <c r="O22" s="679"/>
      <c r="P22" s="679"/>
      <c r="Q22" s="659">
        <f t="shared" si="0"/>
        <v>0</v>
      </c>
      <c r="R22" s="686">
        <f t="shared" si="1"/>
        <v>0</v>
      </c>
    </row>
    <row r="23" spans="1:21">
      <c r="A23" s="327" t="s">
        <v>521</v>
      </c>
      <c r="B23" s="312" t="s">
        <v>552</v>
      </c>
      <c r="C23" s="143" t="s">
        <v>553</v>
      </c>
      <c r="D23" s="319">
        <v>68338</v>
      </c>
      <c r="E23" s="319">
        <v>2077</v>
      </c>
      <c r="F23" s="319">
        <v>4656</v>
      </c>
      <c r="G23" s="659">
        <f t="shared" si="2"/>
        <v>65759</v>
      </c>
      <c r="H23" s="319"/>
      <c r="I23" s="319"/>
      <c r="J23" s="659">
        <f t="shared" si="3"/>
        <v>65759</v>
      </c>
      <c r="K23" s="319">
        <v>18570</v>
      </c>
      <c r="L23" s="319">
        <v>6637</v>
      </c>
      <c r="M23" s="319">
        <v>1106</v>
      </c>
      <c r="N23" s="659">
        <f t="shared" si="4"/>
        <v>24101</v>
      </c>
      <c r="O23" s="319">
        <v>14400</v>
      </c>
      <c r="P23" s="319"/>
      <c r="Q23" s="659">
        <f t="shared" si="0"/>
        <v>38501</v>
      </c>
      <c r="R23" s="686">
        <f t="shared" si="1"/>
        <v>27258</v>
      </c>
      <c r="T23" s="676"/>
    </row>
    <row r="24" spans="1:21">
      <c r="A24" s="327" t="s">
        <v>524</v>
      </c>
      <c r="B24" s="312" t="s">
        <v>554</v>
      </c>
      <c r="C24" s="143" t="s">
        <v>555</v>
      </c>
      <c r="D24" s="319">
        <v>18613</v>
      </c>
      <c r="E24" s="319">
        <v>3378</v>
      </c>
      <c r="F24" s="319">
        <v>123</v>
      </c>
      <c r="G24" s="659">
        <f t="shared" si="2"/>
        <v>21868</v>
      </c>
      <c r="H24" s="319"/>
      <c r="I24" s="319"/>
      <c r="J24" s="659">
        <f t="shared" si="3"/>
        <v>21868</v>
      </c>
      <c r="K24" s="319">
        <v>9524</v>
      </c>
      <c r="L24" s="319">
        <v>1886</v>
      </c>
      <c r="M24" s="319">
        <v>97</v>
      </c>
      <c r="N24" s="659">
        <f t="shared" si="4"/>
        <v>11313</v>
      </c>
      <c r="O24" s="319"/>
      <c r="P24" s="319"/>
      <c r="Q24" s="659">
        <f t="shared" si="0"/>
        <v>11313</v>
      </c>
      <c r="R24" s="686">
        <f t="shared" si="1"/>
        <v>10555</v>
      </c>
      <c r="T24" s="676"/>
    </row>
    <row r="25" spans="1:21">
      <c r="A25" s="329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319"/>
      <c r="M25" s="319"/>
      <c r="N25" s="659">
        <f t="shared" si="4"/>
        <v>0</v>
      </c>
      <c r="O25" s="319"/>
      <c r="P25" s="319"/>
      <c r="Q25" s="659">
        <f t="shared" si="0"/>
        <v>0</v>
      </c>
      <c r="R25" s="686">
        <f t="shared" si="1"/>
        <v>0</v>
      </c>
      <c r="T25" s="676"/>
    </row>
    <row r="26" spans="1:21">
      <c r="A26" s="327" t="s">
        <v>530</v>
      </c>
      <c r="B26" s="148" t="s">
        <v>542</v>
      </c>
      <c r="C26" s="143" t="s">
        <v>558</v>
      </c>
      <c r="D26" s="319">
        <v>5659</v>
      </c>
      <c r="E26" s="319">
        <v>2898</v>
      </c>
      <c r="F26" s="319">
        <v>1179</v>
      </c>
      <c r="G26" s="659">
        <f t="shared" si="2"/>
        <v>7378</v>
      </c>
      <c r="H26" s="319"/>
      <c r="I26" s="319"/>
      <c r="J26" s="659">
        <f t="shared" si="3"/>
        <v>7378</v>
      </c>
      <c r="K26" s="319">
        <v>2321</v>
      </c>
      <c r="L26" s="319">
        <v>41</v>
      </c>
      <c r="M26" s="319"/>
      <c r="N26" s="659">
        <f t="shared" si="4"/>
        <v>2362</v>
      </c>
      <c r="O26" s="319"/>
      <c r="P26" s="319"/>
      <c r="Q26" s="659">
        <f t="shared" si="0"/>
        <v>2362</v>
      </c>
      <c r="R26" s="686">
        <f t="shared" si="1"/>
        <v>5016</v>
      </c>
      <c r="T26" s="676"/>
    </row>
    <row r="27" spans="1:21">
      <c r="A27" s="327"/>
      <c r="B27" s="313" t="s">
        <v>559</v>
      </c>
      <c r="C27" s="149" t="s">
        <v>560</v>
      </c>
      <c r="D27" s="680">
        <f>SUM(D23:D26)</f>
        <v>92610</v>
      </c>
      <c r="E27" s="680">
        <f t="shared" ref="E27:P27" si="5">SUM(E23:E26)</f>
        <v>8353</v>
      </c>
      <c r="F27" s="680">
        <f t="shared" si="5"/>
        <v>5958</v>
      </c>
      <c r="G27" s="685">
        <f t="shared" si="2"/>
        <v>95005</v>
      </c>
      <c r="H27" s="680">
        <f t="shared" si="5"/>
        <v>0</v>
      </c>
      <c r="I27" s="680">
        <f t="shared" si="5"/>
        <v>0</v>
      </c>
      <c r="J27" s="685">
        <f t="shared" si="3"/>
        <v>95005</v>
      </c>
      <c r="K27" s="680">
        <f t="shared" si="5"/>
        <v>30415</v>
      </c>
      <c r="L27" s="680">
        <f t="shared" si="5"/>
        <v>8564</v>
      </c>
      <c r="M27" s="680">
        <f t="shared" si="5"/>
        <v>1203</v>
      </c>
      <c r="N27" s="685">
        <f t="shared" si="4"/>
        <v>37776</v>
      </c>
      <c r="O27" s="680">
        <f t="shared" si="5"/>
        <v>14400</v>
      </c>
      <c r="P27" s="680">
        <f t="shared" si="5"/>
        <v>0</v>
      </c>
      <c r="Q27" s="685">
        <f t="shared" si="0"/>
        <v>52176</v>
      </c>
      <c r="R27" s="688">
        <f t="shared" si="1"/>
        <v>42829</v>
      </c>
    </row>
    <row r="28" spans="1:21">
      <c r="A28" s="326" t="s">
        <v>807</v>
      </c>
      <c r="B28" s="316" t="s">
        <v>803</v>
      </c>
      <c r="C28" s="150"/>
      <c r="D28" s="323"/>
      <c r="E28" s="323"/>
      <c r="F28" s="323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9"/>
    </row>
    <row r="29" spans="1:21">
      <c r="A29" s="327" t="s">
        <v>521</v>
      </c>
      <c r="B29" s="317" t="s">
        <v>561</v>
      </c>
      <c r="C29" s="151" t="s">
        <v>562</v>
      </c>
      <c r="D29" s="324">
        <f>SUM(D30:D33)</f>
        <v>28981</v>
      </c>
      <c r="E29" s="324">
        <f t="shared" ref="E29:P29" si="6">SUM(E30:E33)</f>
        <v>46915</v>
      </c>
      <c r="F29" s="324">
        <f t="shared" si="6"/>
        <v>2772</v>
      </c>
      <c r="G29" s="682">
        <f t="shared" si="2"/>
        <v>73124</v>
      </c>
      <c r="H29" s="683">
        <f t="shared" si="6"/>
        <v>0</v>
      </c>
      <c r="I29" s="683">
        <f t="shared" si="6"/>
        <v>60</v>
      </c>
      <c r="J29" s="682">
        <f t="shared" si="3"/>
        <v>73064</v>
      </c>
      <c r="K29" s="683">
        <f t="shared" si="6"/>
        <v>0</v>
      </c>
      <c r="L29" s="683">
        <f t="shared" si="6"/>
        <v>0</v>
      </c>
      <c r="M29" s="683">
        <f t="shared" si="6"/>
        <v>0</v>
      </c>
      <c r="N29" s="682">
        <f t="shared" si="4"/>
        <v>0</v>
      </c>
      <c r="O29" s="683">
        <f t="shared" si="6"/>
        <v>0</v>
      </c>
      <c r="P29" s="683">
        <f t="shared" si="6"/>
        <v>0</v>
      </c>
      <c r="Q29" s="682">
        <f>N29+O29-P29</f>
        <v>0</v>
      </c>
      <c r="R29" s="690">
        <f>J29-Q29</f>
        <v>73064</v>
      </c>
    </row>
    <row r="30" spans="1:21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6">
        <f t="shared" ref="R30:R41" si="8">J30-Q30</f>
        <v>0</v>
      </c>
    </row>
    <row r="31" spans="1:21">
      <c r="A31" s="327"/>
      <c r="B31" s="312" t="s">
        <v>110</v>
      </c>
      <c r="C31" s="143" t="s">
        <v>564</v>
      </c>
      <c r="D31" s="319">
        <v>44</v>
      </c>
      <c r="E31" s="663">
        <v>2</v>
      </c>
      <c r="F31" s="663">
        <v>46</v>
      </c>
      <c r="G31" s="659">
        <f t="shared" si="2"/>
        <v>0</v>
      </c>
      <c r="H31" s="319"/>
      <c r="I31" s="319"/>
      <c r="J31" s="659">
        <f t="shared" si="3"/>
        <v>0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6">
        <f t="shared" si="8"/>
        <v>0</v>
      </c>
    </row>
    <row r="32" spans="1:21">
      <c r="A32" s="327"/>
      <c r="B32" s="312" t="s">
        <v>113</v>
      </c>
      <c r="C32" s="143" t="s">
        <v>565</v>
      </c>
      <c r="D32" s="319">
        <v>20339</v>
      </c>
      <c r="E32" s="663">
        <v>44738</v>
      </c>
      <c r="F32" s="663">
        <v>2092</v>
      </c>
      <c r="G32" s="659">
        <f t="shared" si="2"/>
        <v>62985</v>
      </c>
      <c r="H32" s="319"/>
      <c r="I32" s="319"/>
      <c r="J32" s="659">
        <f t="shared" si="3"/>
        <v>62985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6">
        <f t="shared" si="8"/>
        <v>62985</v>
      </c>
    </row>
    <row r="33" spans="1:18">
      <c r="A33" s="327"/>
      <c r="B33" s="312" t="s">
        <v>115</v>
      </c>
      <c r="C33" s="143" t="s">
        <v>566</v>
      </c>
      <c r="D33" s="319">
        <v>8598</v>
      </c>
      <c r="E33" s="663">
        <v>2175</v>
      </c>
      <c r="F33" s="663">
        <v>634</v>
      </c>
      <c r="G33" s="659">
        <f t="shared" si="2"/>
        <v>10139</v>
      </c>
      <c r="H33" s="319"/>
      <c r="I33" s="319">
        <v>60</v>
      </c>
      <c r="J33" s="659">
        <f t="shared" si="3"/>
        <v>10079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6">
        <f t="shared" si="8"/>
        <v>10079</v>
      </c>
    </row>
    <row r="34" spans="1:18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9">
        <f t="shared" si="9"/>
        <v>0</v>
      </c>
      <c r="I34" s="679">
        <f t="shared" si="9"/>
        <v>0</v>
      </c>
      <c r="J34" s="659">
        <f t="shared" si="3"/>
        <v>0</v>
      </c>
      <c r="K34" s="679">
        <f t="shared" si="9"/>
        <v>0</v>
      </c>
      <c r="L34" s="679">
        <f t="shared" si="9"/>
        <v>0</v>
      </c>
      <c r="M34" s="679">
        <f t="shared" si="9"/>
        <v>0</v>
      </c>
      <c r="N34" s="659">
        <f t="shared" si="4"/>
        <v>0</v>
      </c>
      <c r="O34" s="679">
        <f t="shared" si="9"/>
        <v>0</v>
      </c>
      <c r="P34" s="679">
        <f t="shared" si="9"/>
        <v>0</v>
      </c>
      <c r="Q34" s="659">
        <f t="shared" si="7"/>
        <v>0</v>
      </c>
      <c r="R34" s="686">
        <f t="shared" si="8"/>
        <v>0</v>
      </c>
    </row>
    <row r="35" spans="1:18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6">
        <f t="shared" si="8"/>
        <v>0</v>
      </c>
    </row>
    <row r="36" spans="1:18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6">
        <f t="shared" si="8"/>
        <v>0</v>
      </c>
    </row>
    <row r="37" spans="1:18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6">
        <f t="shared" si="8"/>
        <v>0</v>
      </c>
    </row>
    <row r="38" spans="1:18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6">
        <f t="shared" si="8"/>
        <v>0</v>
      </c>
    </row>
    <row r="39" spans="1:18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6">
        <f t="shared" si="8"/>
        <v>0</v>
      </c>
    </row>
    <row r="40" spans="1:18">
      <c r="A40" s="327"/>
      <c r="B40" s="313" t="s">
        <v>577</v>
      </c>
      <c r="C40" s="147" t="s">
        <v>578</v>
      </c>
      <c r="D40" s="678">
        <f>D29+D34+D39</f>
        <v>28981</v>
      </c>
      <c r="E40" s="678">
        <f t="shared" ref="E40:P40" si="10">E29+E34+E39</f>
        <v>46915</v>
      </c>
      <c r="F40" s="678">
        <f t="shared" si="10"/>
        <v>2772</v>
      </c>
      <c r="G40" s="684">
        <f t="shared" si="2"/>
        <v>73124</v>
      </c>
      <c r="H40" s="321">
        <f t="shared" si="10"/>
        <v>0</v>
      </c>
      <c r="I40" s="321">
        <f t="shared" si="10"/>
        <v>60</v>
      </c>
      <c r="J40" s="694">
        <f t="shared" si="3"/>
        <v>73064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6">
        <f t="shared" si="8"/>
        <v>73064</v>
      </c>
    </row>
    <row r="41" spans="1:18">
      <c r="A41" s="328" t="s">
        <v>579</v>
      </c>
      <c r="B41" s="318" t="s">
        <v>580</v>
      </c>
      <c r="C41" s="147" t="s">
        <v>581</v>
      </c>
      <c r="D41" s="319">
        <v>33653</v>
      </c>
      <c r="E41" s="319">
        <v>506</v>
      </c>
      <c r="F41" s="319">
        <v>3857</v>
      </c>
      <c r="G41" s="659">
        <f t="shared" si="2"/>
        <v>30302</v>
      </c>
      <c r="H41" s="319"/>
      <c r="I41" s="319"/>
      <c r="J41" s="659">
        <f t="shared" si="3"/>
        <v>30302</v>
      </c>
      <c r="K41" s="319">
        <v>10137</v>
      </c>
      <c r="L41" s="319"/>
      <c r="M41" s="319"/>
      <c r="N41" s="659">
        <f t="shared" si="4"/>
        <v>10137</v>
      </c>
      <c r="O41" s="319">
        <v>4256</v>
      </c>
      <c r="P41" s="319"/>
      <c r="Q41" s="659">
        <f t="shared" si="7"/>
        <v>14393</v>
      </c>
      <c r="R41" s="686">
        <f t="shared" si="8"/>
        <v>15909</v>
      </c>
    </row>
    <row r="42" spans="1:18" ht="15.6" thickBot="1">
      <c r="A42" s="330"/>
      <c r="B42" s="331" t="s">
        <v>582</v>
      </c>
      <c r="C42" s="332" t="s">
        <v>583</v>
      </c>
      <c r="D42" s="692">
        <f>D19+D20+D21+D27+D40+D41</f>
        <v>699924</v>
      </c>
      <c r="E42" s="692">
        <f>E19+E20+E21+E27+E40+E41</f>
        <v>171311</v>
      </c>
      <c r="F42" s="692">
        <f t="shared" ref="F42:R42" si="11">F19+F20+F21+F27+F40+F41</f>
        <v>44534</v>
      </c>
      <c r="G42" s="692">
        <f t="shared" si="11"/>
        <v>826701</v>
      </c>
      <c r="H42" s="333">
        <f t="shared" si="11"/>
        <v>603</v>
      </c>
      <c r="I42" s="333">
        <f t="shared" si="11"/>
        <v>400</v>
      </c>
      <c r="J42" s="692">
        <f t="shared" si="11"/>
        <v>826904</v>
      </c>
      <c r="K42" s="692">
        <f t="shared" si="11"/>
        <v>250280</v>
      </c>
      <c r="L42" s="692">
        <f t="shared" si="11"/>
        <v>44466</v>
      </c>
      <c r="M42" s="692">
        <f t="shared" si="11"/>
        <v>7734</v>
      </c>
      <c r="N42" s="692">
        <f t="shared" si="11"/>
        <v>287012</v>
      </c>
      <c r="O42" s="692">
        <f t="shared" si="11"/>
        <v>18656</v>
      </c>
      <c r="P42" s="692">
        <f t="shared" si="11"/>
        <v>47</v>
      </c>
      <c r="Q42" s="692">
        <f t="shared" si="11"/>
        <v>305621</v>
      </c>
      <c r="R42" s="691">
        <f t="shared" si="11"/>
        <v>521283</v>
      </c>
    </row>
    <row r="43" spans="1:18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8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8">
      <c r="A45" s="483"/>
      <c r="B45" s="651" t="s">
        <v>950</v>
      </c>
      <c r="C45" s="701">
        <f>pdeReportingDate</f>
        <v>43951</v>
      </c>
      <c r="D45" s="701"/>
      <c r="E45" s="701"/>
      <c r="F45" s="701"/>
      <c r="G45" s="701"/>
      <c r="H45" s="701"/>
      <c r="I45" s="701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8">
      <c r="A46" s="483"/>
      <c r="B46" s="651"/>
      <c r="C46" s="674"/>
      <c r="D46" s="674"/>
      <c r="E46" s="674"/>
      <c r="F46" s="674"/>
      <c r="G46" s="674"/>
      <c r="H46" s="674"/>
      <c r="I46" s="674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8">
      <c r="B47" s="651"/>
      <c r="C47" s="51"/>
      <c r="D47" s="51"/>
      <c r="E47" s="51"/>
      <c r="F47" s="51"/>
      <c r="G47" s="51"/>
      <c r="H47" s="51"/>
      <c r="I47" s="51"/>
    </row>
    <row r="48" spans="1:18">
      <c r="B48" s="652" t="s">
        <v>8</v>
      </c>
      <c r="C48" s="702" t="str">
        <f>authorName</f>
        <v>Людмила Бонджова</v>
      </c>
      <c r="D48" s="702"/>
      <c r="E48" s="702"/>
      <c r="F48" s="702"/>
      <c r="G48" s="702"/>
      <c r="H48" s="702"/>
      <c r="I48" s="702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3"/>
      <c r="D51" s="703"/>
      <c r="E51" s="703"/>
      <c r="F51" s="703"/>
      <c r="G51" s="703"/>
      <c r="H51" s="703"/>
      <c r="I51" s="703"/>
    </row>
    <row r="52" spans="2:9">
      <c r="B52" s="653"/>
      <c r="C52" s="704" t="str">
        <f>+Начална!B17</f>
        <v>д.и.н. Огнян Донев</v>
      </c>
      <c r="D52" s="700"/>
      <c r="E52" s="700"/>
      <c r="F52" s="700"/>
      <c r="G52" s="535"/>
      <c r="H52" s="44"/>
      <c r="I52" s="41"/>
    </row>
    <row r="53" spans="2:9">
      <c r="B53" s="653"/>
      <c r="C53" s="700"/>
      <c r="D53" s="700"/>
      <c r="E53" s="700"/>
      <c r="F53" s="700"/>
      <c r="G53" s="535"/>
      <c r="H53" s="44"/>
      <c r="I53" s="41"/>
    </row>
    <row r="54" spans="2:9">
      <c r="B54" s="653"/>
      <c r="C54" s="700"/>
      <c r="D54" s="700"/>
      <c r="E54" s="700"/>
      <c r="F54" s="700"/>
      <c r="G54" s="535"/>
      <c r="H54" s="44"/>
      <c r="I54" s="41"/>
    </row>
    <row r="55" spans="2:9">
      <c r="B55" s="653"/>
      <c r="C55" s="700"/>
      <c r="D55" s="700"/>
      <c r="E55" s="700"/>
      <c r="F55" s="700"/>
      <c r="G55" s="535"/>
      <c r="H55" s="44"/>
      <c r="I55" s="41"/>
    </row>
    <row r="56" spans="2:9">
      <c r="B56" s="653"/>
      <c r="C56" s="700"/>
      <c r="D56" s="700"/>
      <c r="E56" s="700"/>
      <c r="F56" s="700"/>
      <c r="G56" s="535"/>
      <c r="H56" s="44"/>
      <c r="I56" s="41"/>
    </row>
    <row r="57" spans="2:9">
      <c r="B57" s="653"/>
      <c r="C57" s="700"/>
      <c r="D57" s="700"/>
      <c r="E57" s="700"/>
      <c r="F57" s="700"/>
      <c r="G57" s="535"/>
      <c r="H57" s="44"/>
      <c r="I57" s="41"/>
    </row>
    <row r="58" spans="2:9">
      <c r="B58" s="653"/>
      <c r="C58" s="700"/>
      <c r="D58" s="700"/>
      <c r="E58" s="700"/>
      <c r="F58" s="700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17A0B690-90B4-478F-B629-540D801E18FD}" scale="80" fitToPage="1" topLeftCell="A16">
      <selection activeCell="F26" sqref="F2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07871067-5294-4FEE-88CE-4A4A5BC97EF0}" scale="80" fitToPage="1" topLeftCell="A10">
      <selection activeCell="F35" sqref="F35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F2D4D9F9-DE61-45A3-92A2-4E78F2B34B7F}" scale="80" fitToPage="1" topLeftCell="O16">
      <selection activeCell="R41" sqref="R4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</customSheetViews>
  <mergeCells count="15"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4"/>
  <sheetViews>
    <sheetView topLeftCell="A80" zoomScale="70" zoomScaleNormal="85" zoomScaleSheetLayoutView="70" workbookViewId="0">
      <selection activeCell="I99" sqref="I99"/>
    </sheetView>
  </sheetViews>
  <sheetFormatPr defaultColWidth="10.68359375" defaultRowHeight="15.3"/>
  <cols>
    <col min="1" max="1" width="52.68359375" style="38" customWidth="1"/>
    <col min="2" max="2" width="10.68359375" style="102" customWidth="1"/>
    <col min="3" max="3" width="17.68359375" style="38" customWidth="1"/>
    <col min="4" max="5" width="15.68359375" style="38" customWidth="1"/>
    <col min="6" max="6" width="16.89453125" style="38" customWidth="1"/>
    <col min="7" max="26" width="10.68359375" style="38" customWidth="1"/>
    <col min="27" max="16384" width="10.6835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31.12.2019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5.6" thickBot="1">
      <c r="A7" s="116" t="s">
        <v>585</v>
      </c>
      <c r="C7" s="14"/>
      <c r="D7" s="14"/>
      <c r="E7" s="32" t="s">
        <v>797</v>
      </c>
    </row>
    <row r="8" spans="1:6" s="119" customFormat="1" ht="15">
      <c r="A8" s="731" t="s">
        <v>453</v>
      </c>
      <c r="B8" s="733" t="s">
        <v>11</v>
      </c>
      <c r="C8" s="729" t="s">
        <v>587</v>
      </c>
      <c r="D8" s="348" t="s">
        <v>588</v>
      </c>
      <c r="E8" s="349"/>
      <c r="F8" s="118"/>
    </row>
    <row r="9" spans="1:6" s="119" customFormat="1" ht="15">
      <c r="A9" s="732"/>
      <c r="B9" s="734"/>
      <c r="C9" s="730"/>
      <c r="D9" s="122" t="s">
        <v>589</v>
      </c>
      <c r="E9" s="350" t="s">
        <v>590</v>
      </c>
      <c r="F9" s="118"/>
    </row>
    <row r="10" spans="1:6" s="119" customFormat="1" ht="15.6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5.6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>
      <c r="A12" s="356" t="s">
        <v>593</v>
      </c>
      <c r="B12" s="347"/>
      <c r="C12" s="366"/>
      <c r="D12" s="366"/>
      <c r="E12" s="357"/>
      <c r="F12" s="124"/>
    </row>
    <row r="13" spans="1:6">
      <c r="A13" s="353" t="s">
        <v>594</v>
      </c>
      <c r="B13" s="126" t="s">
        <v>595</v>
      </c>
      <c r="C13" s="345">
        <f>SUM(C14:C16)</f>
        <v>91794</v>
      </c>
      <c r="D13" s="345">
        <f>SUM(D14:D16)</f>
        <v>0</v>
      </c>
      <c r="E13" s="352">
        <f>SUM(E14:E16)</f>
        <v>91794</v>
      </c>
      <c r="F13" s="124"/>
    </row>
    <row r="14" spans="1:6">
      <c r="A14" s="353" t="s">
        <v>596</v>
      </c>
      <c r="B14" s="126" t="s">
        <v>597</v>
      </c>
      <c r="C14" s="351">
        <v>91605</v>
      </c>
      <c r="D14" s="351"/>
      <c r="E14" s="352">
        <f t="shared" ref="E14:E44" si="0">C14-D14</f>
        <v>91605</v>
      </c>
      <c r="F14" s="124"/>
    </row>
    <row r="15" spans="1:6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>
      <c r="A16" s="353" t="s">
        <v>600</v>
      </c>
      <c r="B16" s="126" t="s">
        <v>601</v>
      </c>
      <c r="C16" s="351">
        <v>189</v>
      </c>
      <c r="D16" s="351"/>
      <c r="E16" s="352">
        <f t="shared" si="0"/>
        <v>189</v>
      </c>
      <c r="F16" s="124"/>
    </row>
    <row r="17" spans="1:6">
      <c r="A17" s="353" t="s">
        <v>602</v>
      </c>
      <c r="B17" s="126" t="s">
        <v>603</v>
      </c>
      <c r="C17" s="351"/>
      <c r="D17" s="351"/>
      <c r="E17" s="352">
        <f t="shared" si="0"/>
        <v>0</v>
      </c>
      <c r="F17" s="124"/>
    </row>
    <row r="18" spans="1:6">
      <c r="A18" s="353" t="s">
        <v>604</v>
      </c>
      <c r="B18" s="126" t="s">
        <v>605</v>
      </c>
      <c r="C18" s="345">
        <f>+C19+C20</f>
        <v>0</v>
      </c>
      <c r="D18" s="345">
        <f>+D19+D20</f>
        <v>0</v>
      </c>
      <c r="E18" s="352">
        <f t="shared" si="0"/>
        <v>0</v>
      </c>
      <c r="F18" s="124"/>
    </row>
    <row r="19" spans="1:6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>
      <c r="A20" s="353" t="s">
        <v>600</v>
      </c>
      <c r="B20" s="126" t="s">
        <v>608</v>
      </c>
      <c r="C20" s="351"/>
      <c r="D20" s="351"/>
      <c r="E20" s="352">
        <f t="shared" si="0"/>
        <v>0</v>
      </c>
      <c r="F20" s="124"/>
    </row>
    <row r="21" spans="1:6" ht="15.6" thickBot="1">
      <c r="A21" s="367" t="s">
        <v>609</v>
      </c>
      <c r="B21" s="368" t="s">
        <v>610</v>
      </c>
      <c r="C21" s="423">
        <f>C13+C17+C18</f>
        <v>91794</v>
      </c>
      <c r="D21" s="423">
        <f>D13+D17+D18</f>
        <v>0</v>
      </c>
      <c r="E21" s="424">
        <f>E13+E17+E18</f>
        <v>91794</v>
      </c>
      <c r="F21" s="124"/>
    </row>
    <row r="22" spans="1:6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>
      <c r="A23" s="353" t="s">
        <v>612</v>
      </c>
      <c r="B23" s="123" t="s">
        <v>613</v>
      </c>
      <c r="C23" s="426">
        <v>2421</v>
      </c>
      <c r="D23" s="426"/>
      <c r="E23" s="425">
        <f t="shared" si="0"/>
        <v>2421</v>
      </c>
      <c r="F23" s="124"/>
    </row>
    <row r="24" spans="1:6" ht="15.6" thickBot="1">
      <c r="A24" s="371"/>
      <c r="B24" s="354"/>
      <c r="C24" s="372"/>
      <c r="D24" s="355"/>
      <c r="E24" s="373"/>
      <c r="F24" s="124"/>
    </row>
    <row r="25" spans="1:6">
      <c r="A25" s="362" t="s">
        <v>614</v>
      </c>
      <c r="B25" s="369"/>
      <c r="C25" s="363"/>
      <c r="D25" s="364"/>
      <c r="E25" s="365"/>
      <c r="F25" s="124"/>
    </row>
    <row r="26" spans="1:6">
      <c r="A26" s="353" t="s">
        <v>615</v>
      </c>
      <c r="B26" s="126" t="s">
        <v>616</v>
      </c>
      <c r="C26" s="345">
        <f>SUM(C27:C29)</f>
        <v>7112</v>
      </c>
      <c r="D26" s="345">
        <f>SUM(D27:D29)</f>
        <v>7112</v>
      </c>
      <c r="E26" s="352">
        <f>SUM(E27:E29)</f>
        <v>0</v>
      </c>
      <c r="F26" s="124"/>
    </row>
    <row r="27" spans="1:6">
      <c r="A27" s="353" t="s">
        <v>617</v>
      </c>
      <c r="B27" s="126" t="s">
        <v>618</v>
      </c>
      <c r="C27" s="351">
        <v>6048</v>
      </c>
      <c r="D27" s="351">
        <v>6048</v>
      </c>
      <c r="E27" s="352">
        <f t="shared" si="0"/>
        <v>0</v>
      </c>
      <c r="F27" s="124"/>
    </row>
    <row r="28" spans="1:6">
      <c r="A28" s="353" t="s">
        <v>619</v>
      </c>
      <c r="B28" s="126" t="s">
        <v>620</v>
      </c>
      <c r="C28" s="351">
        <v>1064</v>
      </c>
      <c r="D28" s="351">
        <v>1064</v>
      </c>
      <c r="E28" s="352">
        <f t="shared" si="0"/>
        <v>0</v>
      </c>
      <c r="F28" s="124"/>
    </row>
    <row r="29" spans="1:6">
      <c r="A29" s="353" t="s">
        <v>621</v>
      </c>
      <c r="B29" s="126" t="s">
        <v>622</v>
      </c>
      <c r="C29" s="351"/>
      <c r="D29" s="351"/>
      <c r="E29" s="352">
        <f t="shared" si="0"/>
        <v>0</v>
      </c>
      <c r="F29" s="124"/>
    </row>
    <row r="30" spans="1:6">
      <c r="A30" s="353" t="s">
        <v>623</v>
      </c>
      <c r="B30" s="126" t="s">
        <v>624</v>
      </c>
      <c r="C30" s="351">
        <v>245743</v>
      </c>
      <c r="D30" s="351">
        <v>245743</v>
      </c>
      <c r="E30" s="352">
        <f t="shared" si="0"/>
        <v>0</v>
      </c>
      <c r="F30" s="124"/>
    </row>
    <row r="31" spans="1:6">
      <c r="A31" s="353" t="s">
        <v>625</v>
      </c>
      <c r="B31" s="126" t="s">
        <v>626</v>
      </c>
      <c r="C31" s="351">
        <v>9917</v>
      </c>
      <c r="D31" s="351">
        <v>9917</v>
      </c>
      <c r="E31" s="352">
        <f t="shared" si="0"/>
        <v>0</v>
      </c>
      <c r="F31" s="124"/>
    </row>
    <row r="32" spans="1:6">
      <c r="A32" s="353" t="s">
        <v>627</v>
      </c>
      <c r="B32" s="126" t="s">
        <v>628</v>
      </c>
      <c r="C32" s="351">
        <v>6144</v>
      </c>
      <c r="D32" s="351">
        <v>6144</v>
      </c>
      <c r="E32" s="352">
        <f t="shared" si="0"/>
        <v>0</v>
      </c>
      <c r="F32" s="124"/>
    </row>
    <row r="33" spans="1:27">
      <c r="A33" s="353" t="s">
        <v>629</v>
      </c>
      <c r="B33" s="126" t="s">
        <v>630</v>
      </c>
      <c r="C33" s="351">
        <v>2176</v>
      </c>
      <c r="D33" s="351">
        <v>2176</v>
      </c>
      <c r="E33" s="352">
        <f t="shared" si="0"/>
        <v>0</v>
      </c>
      <c r="F33" s="124"/>
    </row>
    <row r="34" spans="1:2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>
      <c r="A35" s="353" t="s">
        <v>633</v>
      </c>
      <c r="B35" s="126" t="s">
        <v>634</v>
      </c>
      <c r="C35" s="345">
        <f>SUM(C36:C39)</f>
        <v>12590</v>
      </c>
      <c r="D35" s="345">
        <f>SUM(D36:D39)</f>
        <v>12590</v>
      </c>
      <c r="E35" s="352">
        <f>SUM(E36:E39)</f>
        <v>0</v>
      </c>
      <c r="F35" s="124"/>
    </row>
    <row r="36" spans="1:27">
      <c r="A36" s="353" t="s">
        <v>635</v>
      </c>
      <c r="B36" s="126" t="s">
        <v>636</v>
      </c>
      <c r="C36" s="351">
        <v>1334</v>
      </c>
      <c r="D36" s="351">
        <v>1334</v>
      </c>
      <c r="E36" s="352">
        <f t="shared" si="0"/>
        <v>0</v>
      </c>
      <c r="F36" s="124"/>
    </row>
    <row r="37" spans="1:27">
      <c r="A37" s="353" t="s">
        <v>637</v>
      </c>
      <c r="B37" s="126" t="s">
        <v>638</v>
      </c>
      <c r="C37" s="351">
        <v>5155</v>
      </c>
      <c r="D37" s="351">
        <v>5155</v>
      </c>
      <c r="E37" s="352">
        <f t="shared" si="0"/>
        <v>0</v>
      </c>
      <c r="F37" s="124"/>
    </row>
    <row r="38" spans="1:2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>
      <c r="A39" s="353" t="s">
        <v>641</v>
      </c>
      <c r="B39" s="126" t="s">
        <v>642</v>
      </c>
      <c r="C39" s="351">
        <v>6101</v>
      </c>
      <c r="D39" s="351">
        <v>6101</v>
      </c>
      <c r="E39" s="352">
        <f t="shared" si="0"/>
        <v>0</v>
      </c>
      <c r="F39" s="124"/>
    </row>
    <row r="40" spans="1:27">
      <c r="A40" s="353" t="s">
        <v>643</v>
      </c>
      <c r="B40" s="126" t="s">
        <v>644</v>
      </c>
      <c r="C40" s="345">
        <f>SUM(C41:C44)</f>
        <v>5603</v>
      </c>
      <c r="D40" s="345">
        <f>SUM(D41:D44)</f>
        <v>5603</v>
      </c>
      <c r="E40" s="352">
        <f>SUM(E41:E44)</f>
        <v>0</v>
      </c>
      <c r="F40" s="124"/>
    </row>
    <row r="41" spans="1:2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>
      <c r="A44" s="353" t="s">
        <v>651</v>
      </c>
      <c r="B44" s="126" t="s">
        <v>652</v>
      </c>
      <c r="C44" s="351">
        <v>5603</v>
      </c>
      <c r="D44" s="351">
        <v>5603</v>
      </c>
      <c r="E44" s="352">
        <f t="shared" si="0"/>
        <v>0</v>
      </c>
      <c r="F44" s="124"/>
    </row>
    <row r="45" spans="1:27" ht="15.6" thickBot="1">
      <c r="A45" s="374" t="s">
        <v>653</v>
      </c>
      <c r="B45" s="375" t="s">
        <v>654</v>
      </c>
      <c r="C45" s="421">
        <f>C26+C30+C31+C33+C32+C34+C35+C40</f>
        <v>289285</v>
      </c>
      <c r="D45" s="421">
        <f>D26+D30+D31+D33+D32+D34+D35+D40</f>
        <v>289285</v>
      </c>
      <c r="E45" s="422">
        <f>E26+E30+E31+E33+E32+E34+E35+E40</f>
        <v>0</v>
      </c>
      <c r="F45" s="124"/>
    </row>
    <row r="46" spans="1:27" ht="15.6" thickBot="1">
      <c r="A46" s="376" t="s">
        <v>655</v>
      </c>
      <c r="B46" s="377" t="s">
        <v>656</v>
      </c>
      <c r="C46" s="427">
        <f>C45+C23+C21+C11</f>
        <v>383500</v>
      </c>
      <c r="D46" s="427">
        <f>D45+D23+D21+D11</f>
        <v>289285</v>
      </c>
      <c r="E46" s="428">
        <f>E45+E23+E21+E11</f>
        <v>94215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5.6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1" t="s">
        <v>453</v>
      </c>
      <c r="B50" s="733" t="s">
        <v>11</v>
      </c>
      <c r="C50" s="735" t="s">
        <v>658</v>
      </c>
      <c r="D50" s="348" t="s">
        <v>659</v>
      </c>
      <c r="E50" s="348"/>
      <c r="F50" s="737" t="s">
        <v>660</v>
      </c>
    </row>
    <row r="51" spans="1:6" s="119" customFormat="1" ht="18" customHeight="1">
      <c r="A51" s="732"/>
      <c r="B51" s="734"/>
      <c r="C51" s="736"/>
      <c r="D51" s="121" t="s">
        <v>589</v>
      </c>
      <c r="E51" s="121" t="s">
        <v>590</v>
      </c>
      <c r="F51" s="738"/>
    </row>
    <row r="52" spans="1:6" s="119" customFormat="1" ht="15.6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>
      <c r="A53" s="356" t="s">
        <v>661</v>
      </c>
      <c r="B53" s="388"/>
      <c r="C53" s="389"/>
      <c r="D53" s="389"/>
      <c r="E53" s="389"/>
      <c r="F53" s="390"/>
    </row>
    <row r="54" spans="1:6">
      <c r="A54" s="353" t="s">
        <v>662</v>
      </c>
      <c r="B54" s="126" t="s">
        <v>663</v>
      </c>
      <c r="C54" s="129">
        <f>SUM(C55:C57)</f>
        <v>2972</v>
      </c>
      <c r="D54" s="129">
        <f>SUM(D55:D57)</f>
        <v>0</v>
      </c>
      <c r="E54" s="127">
        <f>C54-D54</f>
        <v>2972</v>
      </c>
      <c r="F54" s="380">
        <f>SUM(F55:F57)</f>
        <v>0</v>
      </c>
    </row>
    <row r="55" spans="1:6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3" t="s">
        <v>651</v>
      </c>
      <c r="B57" s="126" t="s">
        <v>668</v>
      </c>
      <c r="C57" s="188">
        <v>2972</v>
      </c>
      <c r="D57" s="188"/>
      <c r="E57" s="127">
        <f t="shared" si="1"/>
        <v>2972</v>
      </c>
      <c r="F57" s="187"/>
    </row>
    <row r="58" spans="1:6" ht="30.6">
      <c r="A58" s="353" t="s">
        <v>669</v>
      </c>
      <c r="B58" s="126" t="s">
        <v>670</v>
      </c>
      <c r="C58" s="129">
        <f>C59+C61</f>
        <v>56832</v>
      </c>
      <c r="D58" s="129">
        <f>D59+D61</f>
        <v>0</v>
      </c>
      <c r="E58" s="127">
        <f t="shared" si="1"/>
        <v>56832</v>
      </c>
      <c r="F58" s="381">
        <f>F59+F61</f>
        <v>95415</v>
      </c>
    </row>
    <row r="59" spans="1:6">
      <c r="A59" s="353" t="s">
        <v>671</v>
      </c>
      <c r="B59" s="126" t="s">
        <v>672</v>
      </c>
      <c r="C59" s="188">
        <v>56832</v>
      </c>
      <c r="D59" s="188"/>
      <c r="E59" s="127">
        <f t="shared" si="1"/>
        <v>56832</v>
      </c>
      <c r="F59" s="187">
        <v>95415</v>
      </c>
    </row>
    <row r="60" spans="1:6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3" t="s">
        <v>682</v>
      </c>
      <c r="B66" s="126" t="s">
        <v>683</v>
      </c>
      <c r="C66" s="188">
        <v>29882</v>
      </c>
      <c r="D66" s="188"/>
      <c r="E66" s="127">
        <f t="shared" si="1"/>
        <v>29882</v>
      </c>
      <c r="F66" s="187"/>
    </row>
    <row r="67" spans="1:6">
      <c r="A67" s="353" t="s">
        <v>684</v>
      </c>
      <c r="B67" s="126" t="s">
        <v>685</v>
      </c>
      <c r="C67" s="188">
        <v>25840</v>
      </c>
      <c r="D67" s="188"/>
      <c r="E67" s="127">
        <f t="shared" si="1"/>
        <v>25840</v>
      </c>
      <c r="F67" s="187"/>
    </row>
    <row r="68" spans="1:6" ht="15.6" thickBot="1">
      <c r="A68" s="367" t="s">
        <v>686</v>
      </c>
      <c r="B68" s="368" t="s">
        <v>687</v>
      </c>
      <c r="C68" s="418">
        <f>C54+C58+C63+C64+C65+C66</f>
        <v>89686</v>
      </c>
      <c r="D68" s="418">
        <f>D54+D58+D63+D64+D65+D66</f>
        <v>0</v>
      </c>
      <c r="E68" s="419">
        <f t="shared" si="1"/>
        <v>89686</v>
      </c>
      <c r="F68" s="420">
        <f>F54+F58+F63+F64+F65+F66</f>
        <v>95415</v>
      </c>
    </row>
    <row r="69" spans="1:6">
      <c r="A69" s="362" t="s">
        <v>688</v>
      </c>
      <c r="B69" s="120"/>
      <c r="C69" s="385"/>
      <c r="D69" s="385"/>
      <c r="E69" s="386"/>
      <c r="F69" s="387"/>
    </row>
    <row r="70" spans="1:6">
      <c r="A70" s="353" t="s">
        <v>689</v>
      </c>
      <c r="B70" s="134" t="s">
        <v>690</v>
      </c>
      <c r="C70" s="188">
        <v>8196</v>
      </c>
      <c r="D70" s="188"/>
      <c r="E70" s="127">
        <f t="shared" si="1"/>
        <v>8196</v>
      </c>
      <c r="F70" s="187"/>
    </row>
    <row r="71" spans="1:6" ht="15.6" thickBot="1">
      <c r="A71" s="391"/>
      <c r="B71" s="117"/>
      <c r="C71" s="392"/>
      <c r="D71" s="392"/>
      <c r="E71" s="393"/>
      <c r="F71" s="394"/>
    </row>
    <row r="72" spans="1:6">
      <c r="A72" s="356" t="s">
        <v>691</v>
      </c>
      <c r="B72" s="388"/>
      <c r="C72" s="397"/>
      <c r="D72" s="397"/>
      <c r="E72" s="398"/>
      <c r="F72" s="399"/>
    </row>
    <row r="73" spans="1:6">
      <c r="A73" s="353" t="s">
        <v>662</v>
      </c>
      <c r="B73" s="126" t="s">
        <v>692</v>
      </c>
      <c r="C73" s="128">
        <f>SUM(C74:C76)</f>
        <v>7668</v>
      </c>
      <c r="D73" s="128">
        <f>SUM(D74:D76)</f>
        <v>7668</v>
      </c>
      <c r="E73" s="128">
        <f>SUM(E74:E76)</f>
        <v>0</v>
      </c>
      <c r="F73" s="383">
        <f>SUM(F74:F76)</f>
        <v>0</v>
      </c>
    </row>
    <row r="74" spans="1:6">
      <c r="A74" s="353" t="s">
        <v>693</v>
      </c>
      <c r="B74" s="126" t="s">
        <v>694</v>
      </c>
      <c r="C74" s="188">
        <v>4561</v>
      </c>
      <c r="D74" s="188">
        <v>4561</v>
      </c>
      <c r="E74" s="127">
        <f t="shared" si="1"/>
        <v>0</v>
      </c>
      <c r="F74" s="187"/>
    </row>
    <row r="75" spans="1:6">
      <c r="A75" s="353" t="s">
        <v>695</v>
      </c>
      <c r="B75" s="126" t="s">
        <v>696</v>
      </c>
      <c r="C75" s="188">
        <v>3107</v>
      </c>
      <c r="D75" s="188">
        <v>3107</v>
      </c>
      <c r="E75" s="127">
        <f t="shared" si="1"/>
        <v>0</v>
      </c>
      <c r="F75" s="187"/>
    </row>
    <row r="76" spans="1:6">
      <c r="A76" s="384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0.6">
      <c r="A77" s="353" t="s">
        <v>669</v>
      </c>
      <c r="B77" s="126" t="s">
        <v>699</v>
      </c>
      <c r="C77" s="129">
        <f>C78+C80</f>
        <v>274829</v>
      </c>
      <c r="D77" s="129">
        <f>D78+D80</f>
        <v>274829</v>
      </c>
      <c r="E77" s="129">
        <f>E78+E80</f>
        <v>0</v>
      </c>
      <c r="F77" s="381">
        <f>F78+F80</f>
        <v>194455</v>
      </c>
    </row>
    <row r="78" spans="1:6">
      <c r="A78" s="353" t="s">
        <v>700</v>
      </c>
      <c r="B78" s="126" t="s">
        <v>701</v>
      </c>
      <c r="C78" s="188">
        <v>274829</v>
      </c>
      <c r="D78" s="188">
        <v>274829</v>
      </c>
      <c r="E78" s="127">
        <f t="shared" si="1"/>
        <v>0</v>
      </c>
      <c r="F78" s="187">
        <f>289870-95415</f>
        <v>194455</v>
      </c>
    </row>
    <row r="79" spans="1:6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3" t="s">
        <v>707</v>
      </c>
      <c r="B82" s="126" t="s">
        <v>708</v>
      </c>
      <c r="C82" s="129">
        <f>SUM(C83:C86)</f>
        <v>16730</v>
      </c>
      <c r="D82" s="129">
        <f>SUM(D83:D86)</f>
        <v>16730</v>
      </c>
      <c r="E82" s="129">
        <f>SUM(E83:E86)</f>
        <v>0</v>
      </c>
      <c r="F82" s="381">
        <f>SUM(F83:F86)</f>
        <v>0</v>
      </c>
    </row>
    <row r="83" spans="1:6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0.6">
      <c r="A85" s="353" t="s">
        <v>713</v>
      </c>
      <c r="B85" s="126" t="s">
        <v>714</v>
      </c>
      <c r="C85" s="188">
        <v>16730</v>
      </c>
      <c r="D85" s="188">
        <v>16730</v>
      </c>
      <c r="E85" s="127">
        <f t="shared" si="1"/>
        <v>0</v>
      </c>
      <c r="F85" s="187"/>
    </row>
    <row r="86" spans="1:6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3" t="s">
        <v>717</v>
      </c>
      <c r="B87" s="126" t="s">
        <v>718</v>
      </c>
      <c r="C87" s="125">
        <f>SUM(C88:C92)+C96</f>
        <v>139042</v>
      </c>
      <c r="D87" s="125">
        <f>SUM(D88:D92)+D96</f>
        <v>139042</v>
      </c>
      <c r="E87" s="125">
        <f>SUM(E88:E92)+E96</f>
        <v>0</v>
      </c>
      <c r="F87" s="380">
        <f>SUM(F88:F92)+F96</f>
        <v>0</v>
      </c>
    </row>
    <row r="88" spans="1:6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3" t="s">
        <v>721</v>
      </c>
      <c r="B89" s="126" t="s">
        <v>722</v>
      </c>
      <c r="C89" s="188">
        <v>115627</v>
      </c>
      <c r="D89" s="188">
        <v>115627</v>
      </c>
      <c r="E89" s="127">
        <f t="shared" si="1"/>
        <v>0</v>
      </c>
      <c r="F89" s="187"/>
    </row>
    <row r="90" spans="1:6">
      <c r="A90" s="353" t="s">
        <v>723</v>
      </c>
      <c r="B90" s="126" t="s">
        <v>724</v>
      </c>
      <c r="C90" s="188">
        <v>780</v>
      </c>
      <c r="D90" s="188">
        <v>780</v>
      </c>
      <c r="E90" s="127">
        <f t="shared" si="1"/>
        <v>0</v>
      </c>
      <c r="F90" s="187"/>
    </row>
    <row r="91" spans="1:6">
      <c r="A91" s="353" t="s">
        <v>725</v>
      </c>
      <c r="B91" s="126" t="s">
        <v>726</v>
      </c>
      <c r="C91" s="188">
        <v>12443</v>
      </c>
      <c r="D91" s="188">
        <v>12443</v>
      </c>
      <c r="E91" s="127">
        <f t="shared" si="1"/>
        <v>0</v>
      </c>
      <c r="F91" s="187"/>
    </row>
    <row r="92" spans="1:6">
      <c r="A92" s="353" t="s">
        <v>727</v>
      </c>
      <c r="B92" s="126" t="s">
        <v>728</v>
      </c>
      <c r="C92" s="129">
        <f>SUM(C93:C95)</f>
        <v>7217</v>
      </c>
      <c r="D92" s="129">
        <f>SUM(D93:D95)</f>
        <v>7217</v>
      </c>
      <c r="E92" s="129">
        <f>SUM(E93:E95)</f>
        <v>0</v>
      </c>
      <c r="F92" s="381">
        <f>SUM(F93:F95)</f>
        <v>0</v>
      </c>
    </row>
    <row r="93" spans="1:6">
      <c r="A93" s="353" t="s">
        <v>729</v>
      </c>
      <c r="B93" s="126" t="s">
        <v>730</v>
      </c>
      <c r="C93" s="188">
        <v>1509</v>
      </c>
      <c r="D93" s="188">
        <v>1509</v>
      </c>
      <c r="E93" s="127">
        <f t="shared" si="1"/>
        <v>0</v>
      </c>
      <c r="F93" s="187"/>
    </row>
    <row r="94" spans="1:6">
      <c r="A94" s="353" t="s">
        <v>637</v>
      </c>
      <c r="B94" s="126" t="s">
        <v>731</v>
      </c>
      <c r="C94" s="188">
        <v>4146</v>
      </c>
      <c r="D94" s="188">
        <v>4146</v>
      </c>
      <c r="E94" s="127">
        <f t="shared" si="1"/>
        <v>0</v>
      </c>
      <c r="F94" s="187"/>
    </row>
    <row r="95" spans="1:6">
      <c r="A95" s="353" t="s">
        <v>641</v>
      </c>
      <c r="B95" s="126" t="s">
        <v>732</v>
      </c>
      <c r="C95" s="188">
        <v>1562</v>
      </c>
      <c r="D95" s="188">
        <v>1562</v>
      </c>
      <c r="E95" s="127">
        <f t="shared" si="1"/>
        <v>0</v>
      </c>
      <c r="F95" s="187"/>
    </row>
    <row r="96" spans="1:6">
      <c r="A96" s="353" t="s">
        <v>733</v>
      </c>
      <c r="B96" s="126" t="s">
        <v>734</v>
      </c>
      <c r="C96" s="188">
        <v>2975</v>
      </c>
      <c r="D96" s="188">
        <v>2975</v>
      </c>
      <c r="E96" s="127">
        <f t="shared" si="1"/>
        <v>0</v>
      </c>
      <c r="F96" s="187"/>
    </row>
    <row r="97" spans="1:27">
      <c r="A97" s="353" t="s">
        <v>735</v>
      </c>
      <c r="B97" s="126" t="s">
        <v>736</v>
      </c>
      <c r="C97" s="188">
        <v>45783</v>
      </c>
      <c r="D97" s="188">
        <v>45783</v>
      </c>
      <c r="E97" s="127">
        <f t="shared" si="1"/>
        <v>0</v>
      </c>
      <c r="F97" s="187"/>
    </row>
    <row r="98" spans="1:27" ht="15.6" thickBot="1">
      <c r="A98" s="367" t="s">
        <v>737</v>
      </c>
      <c r="B98" s="368" t="s">
        <v>738</v>
      </c>
      <c r="C98" s="416">
        <f>C87+C82+C77+C73+C97</f>
        <v>484052</v>
      </c>
      <c r="D98" s="416">
        <f>D87+D82+D77+D73+D97</f>
        <v>484052</v>
      </c>
      <c r="E98" s="416">
        <f>E87+E82+E77+E73+E97</f>
        <v>0</v>
      </c>
      <c r="F98" s="417">
        <f>F87+F82+F77+F73+F97</f>
        <v>194455</v>
      </c>
    </row>
    <row r="99" spans="1:27" ht="15.6" thickBot="1">
      <c r="A99" s="395" t="s">
        <v>739</v>
      </c>
      <c r="B99" s="396" t="s">
        <v>740</v>
      </c>
      <c r="C99" s="410">
        <f>C98+C70+C68</f>
        <v>581934</v>
      </c>
      <c r="D99" s="410">
        <f>D98+D70+D68</f>
        <v>484052</v>
      </c>
      <c r="E99" s="410">
        <f>E98+E70+E68</f>
        <v>97882</v>
      </c>
      <c r="F99" s="411">
        <f>F98+F70+F68</f>
        <v>289870</v>
      </c>
    </row>
    <row r="100" spans="1:27">
      <c r="A100" s="133"/>
      <c r="B100" s="135"/>
      <c r="C100" s="136"/>
      <c r="D100" s="136"/>
      <c r="E100" s="136"/>
      <c r="F100" s="137"/>
    </row>
    <row r="101" spans="1:27" ht="15.6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0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5.6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5.6" thickBot="1">
      <c r="A106" s="371" t="s">
        <v>750</v>
      </c>
      <c r="B106" s="405" t="s">
        <v>751</v>
      </c>
      <c r="C106" s="271">
        <v>33</v>
      </c>
      <c r="D106" s="271"/>
      <c r="E106" s="271">
        <v>31</v>
      </c>
      <c r="F106" s="406">
        <f>C106+D106-E106</f>
        <v>2</v>
      </c>
    </row>
    <row r="107" spans="1:27" ht="15.6" thickBot="1">
      <c r="A107" s="401" t="s">
        <v>752</v>
      </c>
      <c r="B107" s="407" t="s">
        <v>753</v>
      </c>
      <c r="C107" s="408">
        <f>SUM(C104:C106)</f>
        <v>33</v>
      </c>
      <c r="D107" s="408">
        <f>SUM(D104:D106)</f>
        <v>0</v>
      </c>
      <c r="E107" s="408">
        <f>SUM(E104:E106)</f>
        <v>31</v>
      </c>
      <c r="F107" s="409">
        <f>SUM(F104:F106)</f>
        <v>2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28" t="s">
        <v>817</v>
      </c>
      <c r="B109" s="728"/>
      <c r="C109" s="728"/>
      <c r="D109" s="728"/>
      <c r="E109" s="728"/>
      <c r="F109" s="728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1">
        <f>pdeReportingDate</f>
        <v>43951</v>
      </c>
      <c r="C111" s="701"/>
      <c r="D111" s="701"/>
      <c r="E111" s="701"/>
      <c r="F111" s="701"/>
      <c r="G111" s="51"/>
      <c r="H111" s="51"/>
    </row>
    <row r="112" spans="1:27">
      <c r="A112" s="651"/>
      <c r="B112" s="674"/>
      <c r="C112" s="674"/>
      <c r="D112" s="674"/>
      <c r="E112" s="674"/>
      <c r="F112" s="674"/>
      <c r="G112" s="674"/>
      <c r="H112" s="674"/>
    </row>
    <row r="113" spans="1:8">
      <c r="A113" s="651"/>
      <c r="B113" s="701"/>
      <c r="C113" s="701"/>
      <c r="D113" s="701"/>
      <c r="E113" s="701"/>
      <c r="F113" s="701"/>
      <c r="G113" s="51"/>
      <c r="H113" s="51"/>
    </row>
    <row r="114" spans="1:8">
      <c r="A114" s="652" t="s">
        <v>8</v>
      </c>
      <c r="B114" s="702" t="str">
        <f>authorName</f>
        <v>Людмила Бонджова</v>
      </c>
      <c r="C114" s="702"/>
      <c r="D114" s="702"/>
      <c r="E114" s="702"/>
      <c r="F114" s="702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2"/>
      <c r="C116" s="702"/>
      <c r="D116" s="702"/>
      <c r="E116" s="702"/>
      <c r="F116" s="702"/>
      <c r="G116" s="75"/>
      <c r="H116" s="75"/>
    </row>
    <row r="117" spans="1:8">
      <c r="A117" s="652" t="s">
        <v>894</v>
      </c>
      <c r="B117" s="703"/>
      <c r="C117" s="703"/>
      <c r="D117" s="703"/>
      <c r="E117" s="703"/>
      <c r="F117" s="703"/>
      <c r="G117" s="77"/>
      <c r="H117" s="77"/>
    </row>
    <row r="118" spans="1:8" ht="15.75" customHeight="1">
      <c r="A118" s="653"/>
      <c r="B118" s="704" t="str">
        <f>+Начална!B17</f>
        <v>д.и.н. Огнян Донев</v>
      </c>
      <c r="C118" s="700"/>
      <c r="D118" s="700"/>
      <c r="E118" s="700"/>
      <c r="F118" s="700"/>
      <c r="G118" s="653"/>
      <c r="H118" s="653"/>
    </row>
    <row r="119" spans="1:8" ht="15.75" customHeight="1">
      <c r="A119" s="653"/>
      <c r="B119" s="700"/>
      <c r="C119" s="700"/>
      <c r="D119" s="700"/>
      <c r="E119" s="700"/>
      <c r="F119" s="700"/>
      <c r="G119" s="653"/>
      <c r="H119" s="653"/>
    </row>
    <row r="120" spans="1:8" ht="15.75" customHeight="1">
      <c r="A120" s="653"/>
      <c r="B120" s="700"/>
      <c r="C120" s="700"/>
      <c r="D120" s="700"/>
      <c r="E120" s="700"/>
      <c r="F120" s="700"/>
      <c r="G120" s="653"/>
      <c r="H120" s="653"/>
    </row>
    <row r="121" spans="1:8" ht="15.75" customHeight="1">
      <c r="A121" s="653"/>
      <c r="B121" s="700"/>
      <c r="C121" s="700"/>
      <c r="D121" s="700"/>
      <c r="E121" s="700"/>
      <c r="F121" s="700"/>
      <c r="G121" s="653"/>
      <c r="H121" s="653"/>
    </row>
    <row r="122" spans="1:8">
      <c r="A122" s="653"/>
      <c r="B122" s="700"/>
      <c r="C122" s="700"/>
      <c r="D122" s="700"/>
      <c r="E122" s="700"/>
      <c r="F122" s="700"/>
      <c r="G122" s="653"/>
      <c r="H122" s="653"/>
    </row>
    <row r="123" spans="1:8">
      <c r="A123" s="653"/>
      <c r="B123" s="700"/>
      <c r="C123" s="700"/>
      <c r="D123" s="700"/>
      <c r="E123" s="700"/>
      <c r="F123" s="700"/>
      <c r="G123" s="653"/>
      <c r="H123" s="653"/>
    </row>
    <row r="124" spans="1:8">
      <c r="A124" s="653"/>
      <c r="B124" s="700"/>
      <c r="C124" s="700"/>
      <c r="D124" s="700"/>
      <c r="E124" s="700"/>
      <c r="F124" s="700"/>
      <c r="G124" s="653"/>
      <c r="H124" s="653"/>
    </row>
  </sheetData>
  <sheetProtection password="D554" sheet="1" objects="1" scenarios="1" insertRows="0"/>
  <customSheetViews>
    <customSheetView guid="{17A0B690-90B4-478F-B629-540D801E18FD}" scale="70" fitToPage="1">
      <selection activeCell="M91" sqref="M9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07871067-5294-4FEE-88CE-4A4A5BC97EF0}" scale="70" fitToPage="1" topLeftCell="A85">
      <selection activeCell="B121" sqref="B121:F12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F2D4D9F9-DE61-45A3-92A2-4E78F2B34B7F}" scale="70" fitToPage="1" topLeftCell="A85">
      <selection activeCell="B121" sqref="B121:F12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</customSheetViews>
  <mergeCells count="20"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6"/>
  <sheetViews>
    <sheetView topLeftCell="A16" zoomScale="85" zoomScaleNormal="85" zoomScaleSheetLayoutView="85" workbookViewId="0">
      <selection activeCell="A21" sqref="A21"/>
    </sheetView>
  </sheetViews>
  <sheetFormatPr defaultColWidth="10.68359375" defaultRowHeight="15.3"/>
  <cols>
    <col min="1" max="1" width="51.89453125" style="38" customWidth="1"/>
    <col min="2" max="2" width="10.68359375" style="102" customWidth="1"/>
    <col min="3" max="7" width="13.68359375" style="38" customWidth="1"/>
    <col min="8" max="9" width="14.68359375" style="38" customWidth="1"/>
    <col min="10" max="20" width="10.68359375" style="38"/>
    <col min="21" max="21" width="13.41796875" style="38" bestFit="1" customWidth="1"/>
    <col min="22" max="16384" width="10.6835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6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5.6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98" t="s">
        <v>516</v>
      </c>
      <c r="H10" s="698" t="s">
        <v>517</v>
      </c>
      <c r="I10" s="745"/>
    </row>
    <row r="11" spans="1:22" s="107" customFormat="1" ht="15.6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7073603</v>
      </c>
      <c r="D13" s="432"/>
      <c r="E13" s="432"/>
      <c r="F13" s="432">
        <v>72758</v>
      </c>
      <c r="G13" s="432"/>
      <c r="H13" s="432">
        <v>60</v>
      </c>
      <c r="I13" s="433">
        <f>F13+G13-H13</f>
        <v>72698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366</v>
      </c>
      <c r="G17" s="432"/>
      <c r="H17" s="432"/>
      <c r="I17" s="433">
        <f t="shared" si="0"/>
        <v>366</v>
      </c>
    </row>
    <row r="18" spans="1:16" s="107" customFormat="1" ht="15.6" thickBot="1">
      <c r="A18" s="437" t="s">
        <v>544</v>
      </c>
      <c r="B18" s="438" t="s">
        <v>770</v>
      </c>
      <c r="C18" s="439">
        <f t="shared" ref="C18:H18" si="1">C13+C14+C16+C17</f>
        <v>7073603</v>
      </c>
      <c r="D18" s="439">
        <f t="shared" si="1"/>
        <v>0</v>
      </c>
      <c r="E18" s="439">
        <f t="shared" si="1"/>
        <v>0</v>
      </c>
      <c r="F18" s="439">
        <f t="shared" si="1"/>
        <v>73124</v>
      </c>
      <c r="G18" s="439">
        <f t="shared" si="1"/>
        <v>0</v>
      </c>
      <c r="H18" s="439">
        <f t="shared" si="1"/>
        <v>60</v>
      </c>
      <c r="I18" s="440">
        <f t="shared" si="0"/>
        <v>73064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9113467</v>
      </c>
      <c r="D21" s="432"/>
      <c r="E21" s="432"/>
      <c r="F21" s="432">
        <v>34142</v>
      </c>
      <c r="G21" s="432"/>
      <c r="H21" s="432"/>
      <c r="I21" s="433">
        <f t="shared" si="0"/>
        <v>34142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5.6" thickBot="1">
      <c r="A27" s="437" t="s">
        <v>785</v>
      </c>
      <c r="B27" s="438" t="s">
        <v>786</v>
      </c>
      <c r="C27" s="439">
        <f t="shared" ref="C27:H27" si="2">SUM(C20:C26)</f>
        <v>9113467</v>
      </c>
      <c r="D27" s="439">
        <f t="shared" si="2"/>
        <v>0</v>
      </c>
      <c r="E27" s="439">
        <f t="shared" si="2"/>
        <v>0</v>
      </c>
      <c r="F27" s="439">
        <f t="shared" si="2"/>
        <v>34142</v>
      </c>
      <c r="G27" s="439">
        <f t="shared" si="2"/>
        <v>0</v>
      </c>
      <c r="H27" s="439">
        <f t="shared" si="2"/>
        <v>0</v>
      </c>
      <c r="I27" s="440">
        <f t="shared" si="0"/>
        <v>34142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43951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696"/>
      <c r="C32" s="696"/>
      <c r="D32" s="696"/>
      <c r="E32" s="696"/>
      <c r="F32" s="696"/>
      <c r="G32" s="115"/>
      <c r="H32" s="115"/>
      <c r="I32" s="115"/>
    </row>
    <row r="33" spans="1:9" s="107" customFormat="1">
      <c r="A33" s="651"/>
      <c r="B33" s="701"/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 t="s">
        <v>8</v>
      </c>
      <c r="B34" s="702" t="str">
        <f>authorName</f>
        <v>Людмила Бонджова</v>
      </c>
      <c r="C34" s="702"/>
      <c r="D34" s="702"/>
      <c r="E34" s="702"/>
      <c r="F34" s="702"/>
      <c r="G34" s="115"/>
      <c r="H34" s="115"/>
      <c r="I34" s="115"/>
    </row>
    <row r="35" spans="1:9" s="107" customFormat="1">
      <c r="A35" s="652"/>
      <c r="B35" s="697"/>
      <c r="C35" s="697"/>
      <c r="D35" s="697"/>
      <c r="E35" s="697"/>
      <c r="F35" s="697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47"/>
      <c r="C37" s="747"/>
      <c r="D37" s="747"/>
      <c r="E37" s="747"/>
      <c r="F37" s="747"/>
      <c r="G37" s="747"/>
      <c r="H37" s="747"/>
      <c r="I37" s="747"/>
    </row>
    <row r="38" spans="1:9" s="107" customFormat="1" ht="15.75" customHeight="1">
      <c r="A38" s="695"/>
      <c r="B38" s="704" t="str">
        <f>+Начална!B17</f>
        <v>д.и.н. Огнян Донев</v>
      </c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95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95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 ht="15.75" customHeight="1">
      <c r="A41" s="695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95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95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695"/>
      <c r="B44" s="700"/>
      <c r="C44" s="700"/>
      <c r="D44" s="700"/>
      <c r="E44" s="700"/>
      <c r="F44" s="700"/>
      <c r="G44" s="700"/>
      <c r="H44" s="700"/>
      <c r="I44" s="700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17A0B690-90B4-478F-B629-540D801E18FD}" scale="85" fitToPage="1">
      <selection activeCell="K16" sqref="K1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07871067-5294-4FEE-88CE-4A4A5BC97EF0}" scale="85" fitToPage="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F2D4D9F9-DE61-45A3-92A2-4E78F2B34B7F}" scale="85" fitToPage="1" topLeftCell="A4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69" orientation="landscape" r:id="rId3"/>
      <headerFooter alignWithMargins="0"/>
    </customSheetView>
  </customSheetViews>
  <mergeCells count="20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69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6"/>
  <sheetViews>
    <sheetView topLeftCell="B16" zoomScale="85" zoomScaleNormal="85" zoomScaleSheetLayoutView="85" workbookViewId="0">
      <selection activeCell="F21" sqref="F21"/>
    </sheetView>
  </sheetViews>
  <sheetFormatPr defaultColWidth="10.68359375" defaultRowHeight="15.3"/>
  <cols>
    <col min="1" max="1" width="51.89453125" style="38" customWidth="1"/>
    <col min="2" max="2" width="10.68359375" style="102" customWidth="1"/>
    <col min="3" max="7" width="13.68359375" style="38" customWidth="1"/>
    <col min="8" max="9" width="14.68359375" style="38" customWidth="1"/>
    <col min="10" max="20" width="10.68359375" style="38"/>
    <col min="21" max="21" width="13.41796875" style="38" bestFit="1" customWidth="1"/>
    <col min="22" max="16384" width="10.6835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5.6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106" t="s">
        <v>516</v>
      </c>
      <c r="H10" s="106" t="s">
        <v>517</v>
      </c>
      <c r="I10" s="745"/>
    </row>
    <row r="11" spans="1:22" s="107" customFormat="1" ht="15.6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6929173</v>
      </c>
      <c r="D13" s="432"/>
      <c r="E13" s="432"/>
      <c r="F13" s="432">
        <v>71192</v>
      </c>
      <c r="G13" s="432"/>
      <c r="H13" s="432">
        <v>125</v>
      </c>
      <c r="I13" s="433">
        <f>F13+G13-H13</f>
        <v>71067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5.6" thickBot="1">
      <c r="A18" s="437" t="s">
        <v>544</v>
      </c>
      <c r="B18" s="438" t="s">
        <v>770</v>
      </c>
      <c r="C18" s="439">
        <f t="shared" ref="C18:H18" si="1">C13+C14+C16+C17</f>
        <v>6929173</v>
      </c>
      <c r="D18" s="439">
        <f t="shared" si="1"/>
        <v>0</v>
      </c>
      <c r="E18" s="439">
        <f t="shared" si="1"/>
        <v>0</v>
      </c>
      <c r="F18" s="439">
        <f t="shared" si="1"/>
        <v>71192</v>
      </c>
      <c r="G18" s="439">
        <f t="shared" si="1"/>
        <v>0</v>
      </c>
      <c r="H18" s="439">
        <f t="shared" si="1"/>
        <v>125</v>
      </c>
      <c r="I18" s="440">
        <f t="shared" si="0"/>
        <v>71067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9113467</v>
      </c>
      <c r="D21" s="432"/>
      <c r="E21" s="432"/>
      <c r="F21" s="432">
        <v>34142</v>
      </c>
      <c r="G21" s="432"/>
      <c r="H21" s="432"/>
      <c r="I21" s="433">
        <f t="shared" si="0"/>
        <v>34142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5.6" thickBot="1">
      <c r="A27" s="437" t="s">
        <v>785</v>
      </c>
      <c r="B27" s="438" t="s">
        <v>786</v>
      </c>
      <c r="C27" s="439">
        <f t="shared" ref="C27:H27" si="2">SUM(C20:C26)</f>
        <v>9113467</v>
      </c>
      <c r="D27" s="439">
        <f t="shared" si="2"/>
        <v>0</v>
      </c>
      <c r="E27" s="439">
        <f t="shared" si="2"/>
        <v>0</v>
      </c>
      <c r="F27" s="439">
        <f t="shared" si="2"/>
        <v>34142</v>
      </c>
      <c r="G27" s="439">
        <f t="shared" si="2"/>
        <v>0</v>
      </c>
      <c r="H27" s="439">
        <f t="shared" si="2"/>
        <v>0</v>
      </c>
      <c r="I27" s="440">
        <f t="shared" si="0"/>
        <v>34142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1">
        <f>pdeReportingDate</f>
        <v>43951</v>
      </c>
      <c r="C31" s="701"/>
      <c r="D31" s="701"/>
      <c r="E31" s="701"/>
      <c r="F31" s="701"/>
      <c r="G31" s="115"/>
      <c r="H31" s="115"/>
      <c r="I31" s="115"/>
    </row>
    <row r="32" spans="1:16" s="107" customFormat="1">
      <c r="A32" s="651"/>
      <c r="B32" s="674"/>
      <c r="C32" s="674"/>
      <c r="D32" s="674"/>
      <c r="E32" s="674"/>
      <c r="F32" s="674"/>
      <c r="G32" s="115"/>
      <c r="H32" s="115"/>
      <c r="I32" s="115"/>
    </row>
    <row r="33" spans="1:9" s="107" customFormat="1">
      <c r="A33" s="651"/>
      <c r="B33" s="701"/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 t="s">
        <v>8</v>
      </c>
      <c r="B34" s="702" t="str">
        <f>authorName</f>
        <v>Людмила Бонджова</v>
      </c>
      <c r="C34" s="702"/>
      <c r="D34" s="702"/>
      <c r="E34" s="702"/>
      <c r="F34" s="702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47"/>
      <c r="C37" s="747"/>
      <c r="D37" s="747"/>
      <c r="E37" s="747"/>
      <c r="F37" s="747"/>
      <c r="G37" s="747"/>
      <c r="H37" s="747"/>
      <c r="I37" s="747"/>
    </row>
    <row r="38" spans="1:9" s="107" customFormat="1" ht="15.75" customHeight="1">
      <c r="A38" s="653"/>
      <c r="B38" s="704" t="str">
        <f>+Начална!B17</f>
        <v>д.и.н. Огнян Донев</v>
      </c>
      <c r="C38" s="700"/>
      <c r="D38" s="700"/>
      <c r="E38" s="700"/>
      <c r="F38" s="700"/>
      <c r="G38" s="700"/>
      <c r="H38" s="700"/>
      <c r="I38" s="700"/>
    </row>
    <row r="39" spans="1:9" s="107" customFormat="1" ht="15.75" customHeight="1">
      <c r="A39" s="653"/>
      <c r="B39" s="700"/>
      <c r="C39" s="700"/>
      <c r="D39" s="700"/>
      <c r="E39" s="700"/>
      <c r="F39" s="700"/>
      <c r="G39" s="700"/>
      <c r="H39" s="700"/>
      <c r="I39" s="700"/>
    </row>
    <row r="40" spans="1:9" s="107" customFormat="1" ht="15.75" customHeight="1">
      <c r="A40" s="653"/>
      <c r="B40" s="700"/>
      <c r="C40" s="700"/>
      <c r="D40" s="700"/>
      <c r="E40" s="700"/>
      <c r="F40" s="700"/>
      <c r="G40" s="700"/>
      <c r="H40" s="700"/>
      <c r="I40" s="700"/>
    </row>
    <row r="41" spans="1:9" s="107" customFormat="1" ht="15.75" customHeight="1">
      <c r="A41" s="653"/>
      <c r="B41" s="700"/>
      <c r="C41" s="700"/>
      <c r="D41" s="700"/>
      <c r="E41" s="700"/>
      <c r="F41" s="700"/>
      <c r="G41" s="700"/>
      <c r="H41" s="700"/>
      <c r="I41" s="700"/>
    </row>
    <row r="42" spans="1:9" s="107" customFormat="1">
      <c r="A42" s="653"/>
      <c r="B42" s="700"/>
      <c r="C42" s="700"/>
      <c r="D42" s="700"/>
      <c r="E42" s="700"/>
      <c r="F42" s="700"/>
      <c r="G42" s="700"/>
      <c r="H42" s="700"/>
      <c r="I42" s="700"/>
    </row>
    <row r="43" spans="1:9" s="107" customFormat="1">
      <c r="A43" s="653"/>
      <c r="B43" s="700"/>
      <c r="C43" s="700"/>
      <c r="D43" s="700"/>
      <c r="E43" s="700"/>
      <c r="F43" s="700"/>
      <c r="G43" s="700"/>
      <c r="H43" s="700"/>
      <c r="I43" s="700"/>
    </row>
    <row r="44" spans="1:9" s="107" customFormat="1">
      <c r="A44" s="653"/>
      <c r="B44" s="700"/>
      <c r="C44" s="700"/>
      <c r="D44" s="700"/>
      <c r="E44" s="700"/>
      <c r="F44" s="700"/>
      <c r="G44" s="700"/>
      <c r="H44" s="700"/>
      <c r="I44" s="700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C13" sqref="C13:H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07871067-5294-4FEE-88CE-4A4A5BC97EF0}" scale="85" fitToPage="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F2D4D9F9-DE61-45A3-92A2-4E78F2B34B7F}" scale="85" fitToPage="1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43:I43"/>
    <mergeCell ref="B44:I44"/>
    <mergeCell ref="B39:I39"/>
    <mergeCell ref="B40:I40"/>
    <mergeCell ref="B41:I41"/>
    <mergeCell ref="B42:I42"/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Lyudmila Bondzhova</cp:lastModifiedBy>
  <cp:lastPrinted>2020-02-27T15:40:51Z</cp:lastPrinted>
  <dcterms:created xsi:type="dcterms:W3CDTF">2006-09-16T00:00:00Z</dcterms:created>
  <dcterms:modified xsi:type="dcterms:W3CDTF">2020-05-03T12:58:55Z</dcterms:modified>
</cp:coreProperties>
</file>