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'SCF'!$A$1:$E$67</definedName>
    <definedName name="_xlnm.Print_Area" localSheetId="1">'SCI'!$A$1:$E$51</definedName>
    <definedName name="_xlnm.Print_Area" localSheetId="4">'SEQ'!$A$1:$S$58</definedName>
    <definedName name="_xlnm.Print_Area" localSheetId="2">'SFP'!$A$1:$G$72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'SCF'!$F:$IV</definedName>
    <definedName name="Z_0C92A18C_82C1_43C8_B8D2_6F7E21DEB0D9_.wvu.Cols" localSheetId="4" hidden="1">'SEQ'!#REF!</definedName>
    <definedName name="Z_0C92A18C_82C1_43C8_B8D2_6F7E21DEB0D9_.wvu.Rows" localSheetId="3" hidden="1">'SCF'!$70:$65536</definedName>
    <definedName name="Z_2BD2C2C3_AF9C_11D6_9CEF_00D009775214_.wvu.Cols" localSheetId="3" hidden="1">'SCF'!$F:$IV</definedName>
    <definedName name="Z_2BD2C2C3_AF9C_11D6_9CEF_00D009775214_.wvu.Cols" localSheetId="4" hidden="1">'SEQ'!#REF!</definedName>
    <definedName name="Z_2BD2C2C3_AF9C_11D6_9CEF_00D009775214_.wvu.PrintArea" localSheetId="3" hidden="1">'SCF'!$A$1:$E$48</definedName>
    <definedName name="Z_2BD2C2C3_AF9C_11D6_9CEF_00D009775214_.wvu.Rows" localSheetId="3" hidden="1">'SCF'!$68:$65536</definedName>
    <definedName name="Z_3DF3D3DF_0C20_498D_AC7F_CE0D39724717_.wvu.Cols" localSheetId="3" hidden="1">'SCF'!$F:$IV</definedName>
    <definedName name="Z_3DF3D3DF_0C20_498D_AC7F_CE0D39724717_.wvu.Cols" localSheetId="4" hidden="1">'SEQ'!#REF!</definedName>
    <definedName name="Z_3DF3D3DF_0C20_498D_AC7F_CE0D39724717_.wvu.Rows" localSheetId="3" hidden="1">'SCF'!$70:$65536,'SCF'!$56:$56</definedName>
    <definedName name="Z_92AC9888_5B7E_11D6_9CEE_00D009757B57_.wvu.Cols" localSheetId="3" hidden="1">'SCF'!#REF!</definedName>
    <definedName name="Z_9656BBF7_C4A3_41EC_B0C6_A21B380E3C2F_.wvu.Cols" localSheetId="3" hidden="1">'SCF'!#REF!</definedName>
    <definedName name="Z_9656BBF7_C4A3_41EC_B0C6_A21B380E3C2F_.wvu.Cols" localSheetId="4" hidden="1">'SEQ'!#REF!</definedName>
    <definedName name="Z_9656BBF7_C4A3_41EC_B0C6_A21B380E3C2F_.wvu.PrintArea" localSheetId="4" hidden="1">'SEQ'!$A$1:$P$46</definedName>
    <definedName name="Z_9656BBF7_C4A3_41EC_B0C6_A21B380E3C2F_.wvu.Rows" localSheetId="3" hidden="1">'SCF'!$70:$65536,'SCF'!$56:$56</definedName>
  </definedNames>
  <calcPr fullCalcOnLoad="1"/>
</workbook>
</file>

<file path=xl/sharedStrings.xml><?xml version="1.0" encoding="utf-8"?>
<sst xmlns="http://schemas.openxmlformats.org/spreadsheetml/2006/main" count="241" uniqueCount="201">
  <si>
    <t>Име на дружеството:</t>
  </si>
  <si>
    <t>Адрес на управление:</t>
  </si>
  <si>
    <t>Обслужващи банки:</t>
  </si>
  <si>
    <t>Разходи за външни услуги</t>
  </si>
  <si>
    <t>АКТИВ</t>
  </si>
  <si>
    <t>Приложения</t>
  </si>
  <si>
    <t>Постъпления от клиенти</t>
  </si>
  <si>
    <t>Материални запаси</t>
  </si>
  <si>
    <t>Разходи за персонала</t>
  </si>
  <si>
    <t>BGN'000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</si>
  <si>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</si>
  <si>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</si>
  <si>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</si>
  <si>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</si>
  <si>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</si>
  <si>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СОБСТВЕН КАПИТАЛ И ПАСИВИ</t>
  </si>
  <si>
    <t>Изпълнителен директор:</t>
  </si>
  <si>
    <t>Законови резерви</t>
  </si>
  <si>
    <t>Пасиви по отсрочени данъци</t>
  </si>
  <si>
    <t>Съвет на директорите:</t>
  </si>
  <si>
    <t>Одитори: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</si>
  <si>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</si>
  <si>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</si>
  <si>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</si>
  <si>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</si>
  <si>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Други постъпления/(плащания), нетно</t>
  </si>
  <si>
    <t>Основен акционерен капитал</t>
  </si>
  <si>
    <t>Платени данъци (без данъци върху печалбата)</t>
  </si>
  <si>
    <t>Платени лихви и такси по заеми с инвестиционно предназначение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</si>
  <si>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</si>
  <si>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</si>
  <si>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</si>
  <si>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Парични средства и парични еквиваленти</t>
  </si>
  <si>
    <t xml:space="preserve">Главен счетоводител: </t>
  </si>
  <si>
    <t>Нетекущи задължения</t>
  </si>
  <si>
    <t>СОФАРМА АД</t>
  </si>
  <si>
    <t>Печалба от оперативна дейност</t>
  </si>
  <si>
    <t>Имоти, машини и оборудване</t>
  </si>
  <si>
    <t>Инвестиционни имоти</t>
  </si>
  <si>
    <t>Инвестиции в дъщерни дружества</t>
  </si>
  <si>
    <t>СОБСТВЕН КАПИТАЛ</t>
  </si>
  <si>
    <t>ПАСИВИ</t>
  </si>
  <si>
    <t>Задължения за данъци</t>
  </si>
  <si>
    <t>ОБЩО ПАСИВИ</t>
  </si>
  <si>
    <t>ОБЩО СОБСТВЕН КАПИТАЛ И ПАСИВИ</t>
  </si>
  <si>
    <t>Вземания от свързани предприятия</t>
  </si>
  <si>
    <t>Задължения към свързани предприятия</t>
  </si>
  <si>
    <t>Постъпления от продажби на имоти, машини и оборудване</t>
  </si>
  <si>
    <t>Покупки на нематериални активи</t>
  </si>
  <si>
    <t>Изплатени дивиденти</t>
  </si>
  <si>
    <t>гр. София</t>
  </si>
  <si>
    <t>ул. Илиенско шосе 16</t>
  </si>
  <si>
    <t>Адриана Балева</t>
  </si>
  <si>
    <t>Венелин Гачев</t>
  </si>
  <si>
    <t>Райфайзенбанк (България)  ЕАД</t>
  </si>
  <si>
    <t>Банка ДСК ЕАД</t>
  </si>
  <si>
    <t>Йорданка Петкова</t>
  </si>
  <si>
    <t>д.и.н. Огнян Донев</t>
  </si>
  <si>
    <t>ОБЩО АКТИВИ</t>
  </si>
  <si>
    <t>Задължения към персонала и за социално осигуряване</t>
  </si>
  <si>
    <t>Платени лихви и банкови такси по заеми за оборотни средства</t>
  </si>
  <si>
    <t>Разходи за амортизация</t>
  </si>
  <si>
    <t>Весела Стоева</t>
  </si>
  <si>
    <t xml:space="preserve">Разпределение на печалбата за:               </t>
  </si>
  <si>
    <t xml:space="preserve">Приходи </t>
  </si>
  <si>
    <t xml:space="preserve">Изпълнителен директор: </t>
  </si>
  <si>
    <t>д.и.н.Огнян Донев</t>
  </si>
  <si>
    <t>Други вземания и предплатени разходи</t>
  </si>
  <si>
    <t>Дългосрочни банкови заеми</t>
  </si>
  <si>
    <t>Краткосрочни банкови заеми</t>
  </si>
  <si>
    <t xml:space="preserve">                                      д.и.н. Огнян Донев</t>
  </si>
  <si>
    <t>Парични средства и парични еквиваленти на 1 януари</t>
  </si>
  <si>
    <t>Венцислав Стоев</t>
  </si>
  <si>
    <t>Плащания на доставчици</t>
  </si>
  <si>
    <t>Краткосрочна част на дългосрочни банкови заеми</t>
  </si>
  <si>
    <t>Резерви</t>
  </si>
  <si>
    <t>Ситибанк Н.А.</t>
  </si>
  <si>
    <t xml:space="preserve"> </t>
  </si>
  <si>
    <t>Преоценъчен резерв - имоти, машини и оборудване</t>
  </si>
  <si>
    <t>Юробанк и Еф Джи България АД</t>
  </si>
  <si>
    <t>Уникредит  АД</t>
  </si>
  <si>
    <t>Финансови приходи</t>
  </si>
  <si>
    <t>Финансови разходи</t>
  </si>
  <si>
    <t>Други доходи/(загуби) от дейността, нетно</t>
  </si>
  <si>
    <t>Гл. счетоводител (съставител):</t>
  </si>
  <si>
    <t>Изплащане на дългосрочни банкови заеми</t>
  </si>
  <si>
    <t>Курсови разлики, нетно</t>
  </si>
  <si>
    <t xml:space="preserve">Финансов директор: </t>
  </si>
  <si>
    <t>Борис Борисов</t>
  </si>
  <si>
    <t>Финансов директор:</t>
  </si>
  <si>
    <t>Промени в запасите от готова продукция и незавършено производство</t>
  </si>
  <si>
    <t>Разходи за суровини и материали</t>
  </si>
  <si>
    <t>Печалба преди данък върху печалбата</t>
  </si>
  <si>
    <t>Разход за данък върху печалбата</t>
  </si>
  <si>
    <t>Предоставени заеми на свързани предприятия</t>
  </si>
  <si>
    <t>ОБЩО ВСЕОБХВАТЕН ДОХОД ЗА ГОДИНАТА</t>
  </si>
  <si>
    <t>Възстановени заеми, предоставени на свързани предприятия</t>
  </si>
  <si>
    <t>Възстановени заеми, предоставени на други предприятия</t>
  </si>
  <si>
    <t>Неразпределена печалба</t>
  </si>
  <si>
    <t>Допълнителни резерви</t>
  </si>
  <si>
    <t xml:space="preserve">Търговски вземания </t>
  </si>
  <si>
    <t>Обратно изкупени собствени акции</t>
  </si>
  <si>
    <t xml:space="preserve">Търговски задължения </t>
  </si>
  <si>
    <t>Прехвърляне към неразпределена печалба</t>
  </si>
  <si>
    <t>Александър Чаушев</t>
  </si>
  <si>
    <t>Предоставени заеми на други предприятия</t>
  </si>
  <si>
    <t>Адвокати:</t>
  </si>
  <si>
    <t>Петър Калпакчиев</t>
  </si>
  <si>
    <t xml:space="preserve">Дългосрочни вземания от свързани предприятия </t>
  </si>
  <si>
    <t>Други дългосрочни вземания</t>
  </si>
  <si>
    <t>Постъпления от краткосрочни банкови заеми (овърдрафт), нетно</t>
  </si>
  <si>
    <t>Друг всеобхватен доход за годината, нетно от данъци</t>
  </si>
  <si>
    <t>Общ всеобхватен доход за годината, в т.ч.:</t>
  </si>
  <si>
    <t>Други компоненти на всеобхватния доход:</t>
  </si>
  <si>
    <t>Правителствени финансирания</t>
  </si>
  <si>
    <t>Дългосрочни задължения към персонала</t>
  </si>
  <si>
    <t xml:space="preserve">Инг Банк Н.В. </t>
  </si>
  <si>
    <t>Сибанк ЕАД</t>
  </si>
  <si>
    <t>Огнян Палавеев</t>
  </si>
  <si>
    <t xml:space="preserve">Финансов директор:                                                                </t>
  </si>
  <si>
    <t>Гл.счетоводител (съставител):</t>
  </si>
  <si>
    <t>Финансови приходи/(разходи), нетно</t>
  </si>
  <si>
    <t>Нетни парични потоци от оперативна дейност</t>
  </si>
  <si>
    <t xml:space="preserve">                                                                              Йорданка Петкова</t>
  </si>
  <si>
    <t>Други разходи за дейността</t>
  </si>
  <si>
    <t xml:space="preserve">Нетна печалба за годината </t>
  </si>
  <si>
    <t>15,16</t>
  </si>
  <si>
    <t>Инвестиции в асоциирани дружества</t>
  </si>
  <si>
    <t>(Платени)/възстановени данъци върху печалбата, нетно</t>
  </si>
  <si>
    <t xml:space="preserve">Получени лихви по предоставени заеми </t>
  </si>
  <si>
    <t>Бойко Ботев</t>
  </si>
  <si>
    <t>Предоставени заеми на трети лица</t>
  </si>
  <si>
    <t>Ефекти от вливане на дъщерно дружество</t>
  </si>
  <si>
    <t xml:space="preserve">Постъпления от дивиденти от инвестиции в дъщерни дружества </t>
  </si>
  <si>
    <t>26 (а)</t>
  </si>
  <si>
    <t>26 (b)</t>
  </si>
  <si>
    <t>Покупка на акции в асоциирани дружества</t>
  </si>
  <si>
    <t>Постъпления от продажба на обратно изкупени собствени акции</t>
  </si>
  <si>
    <t>Парични средства и парични еквиваленти на 31 декември</t>
  </si>
  <si>
    <t>Ефекти от обратно изкупени собствени акции в т.ч:</t>
  </si>
  <si>
    <t>Постъпления от продажба на акции в асоциирани дружества</t>
  </si>
  <si>
    <t>Бейкър Тили Клиту и Партньори ООД</t>
  </si>
  <si>
    <t>31 декември                   2018
      BGN'000</t>
  </si>
  <si>
    <t>Промени в собствения капитал за 2018 година</t>
  </si>
  <si>
    <t xml:space="preserve">Салдо към 31 декември 2018 година </t>
  </si>
  <si>
    <t xml:space="preserve">      Борис Борисов</t>
  </si>
  <si>
    <t xml:space="preserve">           Йорданка Петкова</t>
  </si>
  <si>
    <t>Иван Бадински</t>
  </si>
  <si>
    <t>Последващи преоценки на имоти, машини и оборудване</t>
  </si>
  <si>
    <t>Данък върху дохода, свързан с компонентите на другия всеобхватен доход, които няма да бъдат рекласифицирани</t>
  </si>
  <si>
    <t>Други дългосрочни капиталови инвестиции</t>
  </si>
  <si>
    <t>Покупки на капиталови инвестиции</t>
  </si>
  <si>
    <t>Постъпления от продажба на капиталови инвестиции</t>
  </si>
  <si>
    <t>Резерв по финансови активи по справедлива стойност през друг всеобхватен доход</t>
  </si>
  <si>
    <t>Постъпления от дългосрочни банкови заеми</t>
  </si>
  <si>
    <t>Салдо към 1 януари 2018 година (преизчислено)</t>
  </si>
  <si>
    <t>*</t>
  </si>
  <si>
    <t>Нетни парични потоци използвани в инвестиционна дейност</t>
  </si>
  <si>
    <t xml:space="preserve">Ефекти от първоначално прилагане на МСФО 9 </t>
  </si>
  <si>
    <t>- придобиване на обратно изкупени акции</t>
  </si>
  <si>
    <t>- продадени обратно изкупени собствени акции</t>
  </si>
  <si>
    <t xml:space="preserve"> - резерви</t>
  </si>
  <si>
    <t xml:space="preserve">    - нетна печалба за годината</t>
  </si>
  <si>
    <t xml:space="preserve">    - други компоненти на всеобхватния доход, нетно от данъци</t>
  </si>
  <si>
    <t>- плащания на база акции</t>
  </si>
  <si>
    <t xml:space="preserve"> - дивиденти от печалба за 2017 година</t>
  </si>
  <si>
    <t>Последващи оценки на пасиви на пенсионни планове с дефинирани доходи</t>
  </si>
  <si>
    <t>Обезценка на нетекущи активи извън обхвата на МСФО 9</t>
  </si>
  <si>
    <t xml:space="preserve">Нетна промяна в справедливата стойност на други дългосрочни капиталови инвестиции </t>
  </si>
  <si>
    <t>Основна нетна печалба на акция                                                                          BGN</t>
  </si>
  <si>
    <t xml:space="preserve"> - шест-месечни дивиденти от печалба за 2018 година</t>
  </si>
  <si>
    <t xml:space="preserve">Постъпления от дивиденти от други дългосрочни капиталови инвестиции </t>
  </si>
  <si>
    <t>Експресбанк АД</t>
  </si>
  <si>
    <t>Компоненти, които няма да бъдат рекласифицирани в печалбата или загубата:</t>
  </si>
  <si>
    <t>Елена Големанова</t>
  </si>
  <si>
    <t>за годината, завършваща на 31 декември 2019 година</t>
  </si>
  <si>
    <t>2019   BGN'000</t>
  </si>
  <si>
    <t>31 декември                   2019
      BGN'000</t>
  </si>
  <si>
    <r>
      <t xml:space="preserve">* Модифицирано ретроспективно приложение на МСФО 16 </t>
    </r>
    <r>
      <rPr>
        <i/>
        <sz val="7"/>
        <rFont val="Times New Roman"/>
        <family val="1"/>
      </rPr>
      <t>(Приложение № 32 и Приложение № 33)</t>
    </r>
  </si>
  <si>
    <t>Салдо към 1 януари 2018 година (оригинално отчетено)</t>
  </si>
  <si>
    <t>Промени в собствения капитал за 2019 година</t>
  </si>
  <si>
    <t xml:space="preserve">Салдо към 31 декември 2019 година </t>
  </si>
  <si>
    <t>към 31 декември 2019 година</t>
  </si>
  <si>
    <t>8,9</t>
  </si>
  <si>
    <t>2018 *   BGN'000</t>
  </si>
  <si>
    <t>Покупки на акции и дялове в дъщерни дружества</t>
  </si>
  <si>
    <t>Постъпления от продажба на акции и дялове в дъщерни дружества</t>
  </si>
  <si>
    <t>Нетни парични потоци от финансова дейност</t>
  </si>
  <si>
    <t>Нетно намаление на паричните средства и паричните еквиваленти</t>
  </si>
  <si>
    <t>2018 *</t>
  </si>
  <si>
    <t>Покупки на инвестиционни имоти</t>
  </si>
  <si>
    <t xml:space="preserve">Задължения по лизингови договори към трети лица </t>
  </si>
  <si>
    <t xml:space="preserve">Задължения по лизингови договори към свързани предприятия </t>
  </si>
  <si>
    <t xml:space="preserve">Плащания по лизингови договори  </t>
  </si>
  <si>
    <t xml:space="preserve"> - шест-месечни дивиденти от печалба за 2019 година</t>
  </si>
  <si>
    <t>ПРЕДВАРИТЕЛЕН ИНДИВИДУАЛЕН ОТЧЕТ ЗА ВСЕОБХВАТНИЯ ДОХОД</t>
  </si>
  <si>
    <t>ПРЕДВАРИТЕЛЕН ИНДИВИДУАЛЕН ОТЧЕТ ЗА ФИНАНСОВОТО СЪСТОЯНИЕ</t>
  </si>
  <si>
    <t xml:space="preserve">ПРЕДВАРИТЕЛЕН  ИНДИВИДУАЛЕН ОТЧЕТ ЗА ПАРИЧНИТЕ ПОТОЦИ </t>
  </si>
  <si>
    <t>ПРЕДВАРИТЕЛЕН ИНДИВИДУАЛЕН ОТЧЕТ ЗА ПРОМЕНИТЕ В СОБСТВЕНИЯ КАПИТАЛ</t>
  </si>
  <si>
    <t>Получени правителствени финансирания</t>
  </si>
  <si>
    <t>Приложенията на страници от 5 до 140 са неразделна част от индивидуалния финансов отчет.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</si>
</sst>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7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9" borderId="1" applyNumberFormat="0" applyAlignment="0" applyProtection="0"/>
    <xf numFmtId="0" fontId="82" fillId="0" borderId="6" applyNumberFormat="0" applyFill="0" applyAlignment="0" applyProtection="0"/>
    <xf numFmtId="0" fontId="83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4" fillId="26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1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171" fontId="11" fillId="0" borderId="0" xfId="66" applyNumberFormat="1" applyFont="1" applyAlignment="1">
      <alignment horizontal="right" vertical="center" wrapText="1"/>
      <protection/>
    </xf>
    <xf numFmtId="0" fontId="27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6" fillId="0" borderId="0" xfId="65" applyFont="1" applyAlignment="1" quotePrefix="1">
      <alignment horizontal="left" vertical="center"/>
      <protection/>
    </xf>
    <xf numFmtId="0" fontId="28" fillId="0" borderId="0" xfId="60" applyFont="1" applyAlignment="1">
      <alignment horizontal="center"/>
      <protection/>
    </xf>
    <xf numFmtId="171" fontId="8" fillId="0" borderId="0" xfId="60" applyNumberFormat="1" applyFont="1" applyAlignment="1">
      <alignment horizontal="right"/>
      <protection/>
    </xf>
    <xf numFmtId="0" fontId="29" fillId="0" borderId="0" xfId="60" applyFont="1" applyAlignment="1">
      <alignment vertical="top" wrapText="1"/>
      <protection/>
    </xf>
    <xf numFmtId="0" fontId="28" fillId="0" borderId="0" xfId="60" applyFont="1" applyAlignment="1">
      <alignment horizontal="center"/>
      <protection/>
    </xf>
    <xf numFmtId="0" fontId="27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" fontId="20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3" fillId="0" borderId="0" xfId="59" applyNumberFormat="1" applyFont="1" applyAlignment="1">
      <alignment horizontal="center" vertical="center" wrapText="1"/>
      <protection/>
    </xf>
    <xf numFmtId="171" fontId="5" fillId="0" borderId="0" xfId="60" applyNumberFormat="1" applyFont="1" applyAlignment="1">
      <alignment horizontal="right"/>
      <protection/>
    </xf>
    <xf numFmtId="171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1" fontId="8" fillId="0" borderId="0" xfId="63" applyNumberFormat="1" applyFont="1" applyAlignment="1">
      <alignment horizontal="right"/>
      <protection/>
    </xf>
    <xf numFmtId="171" fontId="9" fillId="0" borderId="11" xfId="63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10" fillId="0" borderId="0" xfId="59" applyFont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171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8" fillId="0" borderId="0" xfId="60" applyNumberFormat="1" applyFont="1" applyAlignment="1">
      <alignment horizontal="center"/>
      <protection/>
    </xf>
    <xf numFmtId="209" fontId="4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171" fontId="40" fillId="0" borderId="0" xfId="0" applyNumberFormat="1" applyFont="1" applyAlignment="1">
      <alignment horizontal="left" vertical="center"/>
    </xf>
    <xf numFmtId="171" fontId="43" fillId="0" borderId="0" xfId="0" applyNumberFormat="1" applyFont="1" applyAlignment="1">
      <alignment horizontal="center"/>
    </xf>
    <xf numFmtId="171" fontId="38" fillId="0" borderId="0" xfId="0" applyNumberFormat="1" applyFont="1" applyAlignment="1">
      <alignment horizontal="center"/>
    </xf>
    <xf numFmtId="203" fontId="42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17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171" fontId="28" fillId="0" borderId="0" xfId="60" applyNumberFormat="1" applyFont="1" applyAlignment="1">
      <alignment horizontal="center"/>
      <protection/>
    </xf>
    <xf numFmtId="0" fontId="41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3" fillId="0" borderId="0" xfId="0" applyNumberFormat="1" applyFont="1" applyAlignment="1">
      <alignment horizontal="center"/>
    </xf>
    <xf numFmtId="9" fontId="38" fillId="0" borderId="0" xfId="70" applyFont="1" applyAlignment="1">
      <alignment/>
    </xf>
    <xf numFmtId="213" fontId="8" fillId="0" borderId="0" xfId="0" applyNumberFormat="1" applyFont="1" applyAlignment="1">
      <alignment/>
    </xf>
    <xf numFmtId="17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4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25" fillId="0" borderId="0" xfId="61" applyNumberFormat="1" applyFont="1" applyAlignment="1">
      <alignment horizontal="center" vertical="center" wrapText="1"/>
      <protection/>
    </xf>
    <xf numFmtId="171" fontId="25" fillId="0" borderId="0" xfId="61" applyNumberFormat="1" applyFont="1" applyAlignment="1">
      <alignment horizontal="right" vertical="center" wrapText="1"/>
      <protection/>
    </xf>
    <xf numFmtId="0" fontId="45" fillId="0" borderId="0" xfId="0" applyFont="1" applyAlignment="1">
      <alignment/>
    </xf>
    <xf numFmtId="171" fontId="8" fillId="0" borderId="10" xfId="0" applyNumberFormat="1" applyFont="1" applyBorder="1" applyAlignment="1">
      <alignment horizontal="right"/>
    </xf>
    <xf numFmtId="171" fontId="38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171" fontId="36" fillId="0" borderId="0" xfId="0" applyNumberFormat="1" applyFont="1" applyAlignment="1">
      <alignment horizontal="center"/>
    </xf>
    <xf numFmtId="171" fontId="8" fillId="0" borderId="0" xfId="0" applyNumberFormat="1" applyFont="1" applyAlignment="1">
      <alignment horizontal="right"/>
    </xf>
    <xf numFmtId="171" fontId="9" fillId="0" borderId="11" xfId="42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6" fillId="0" borderId="0" xfId="59" applyFont="1" applyAlignment="1">
      <alignment vertical="center"/>
      <protection/>
    </xf>
    <xf numFmtId="171" fontId="8" fillId="0" borderId="0" xfId="63" applyNumberFormat="1" applyFont="1" applyAlignment="1">
      <alignment horizontal="center"/>
      <protection/>
    </xf>
    <xf numFmtId="0" fontId="47" fillId="0" borderId="0" xfId="0" applyFont="1" applyAlignment="1">
      <alignment horizontal="left" vertical="center"/>
    </xf>
    <xf numFmtId="0" fontId="30" fillId="0" borderId="0" xfId="61" applyFont="1" applyAlignment="1">
      <alignment horizontal="right" vertical="top" wrapText="1"/>
      <protection/>
    </xf>
    <xf numFmtId="0" fontId="30" fillId="0" borderId="0" xfId="61" applyFont="1" applyAlignment="1">
      <alignment horizontal="center" vertical="top" wrapText="1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6" fillId="0" borderId="0" xfId="61" applyFont="1">
      <alignment/>
      <protection/>
    </xf>
    <xf numFmtId="0" fontId="30" fillId="0" borderId="0" xfId="0" applyFont="1" applyAlignment="1">
      <alignment horizontal="right"/>
    </xf>
    <xf numFmtId="0" fontId="46" fillId="0" borderId="0" xfId="0" applyFont="1" applyAlignment="1">
      <alignment/>
    </xf>
    <xf numFmtId="0" fontId="30" fillId="0" borderId="0" xfId="61" applyFont="1" applyAlignment="1">
      <alignment vertical="center" wrapText="1"/>
      <protection/>
    </xf>
    <xf numFmtId="0" fontId="46" fillId="0" borderId="0" xfId="61" applyFont="1" applyAlignment="1">
      <alignment horizontal="center" vertical="center"/>
      <protection/>
    </xf>
    <xf numFmtId="0" fontId="46" fillId="0" borderId="0" xfId="61" applyFont="1" applyAlignment="1">
      <alignment vertical="center" wrapText="1"/>
      <protection/>
    </xf>
    <xf numFmtId="203" fontId="46" fillId="0" borderId="0" xfId="61" applyNumberFormat="1" applyFont="1" applyAlignment="1">
      <alignment vertical="center"/>
      <protection/>
    </xf>
    <xf numFmtId="203" fontId="46" fillId="0" borderId="0" xfId="0" applyNumberFormat="1" applyFont="1" applyAlignment="1">
      <alignment/>
    </xf>
    <xf numFmtId="171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1" fontId="48" fillId="0" borderId="0" xfId="0" applyNumberFormat="1" applyFont="1" applyAlignment="1">
      <alignment/>
    </xf>
    <xf numFmtId="0" fontId="46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30" fillId="0" borderId="0" xfId="0" applyFont="1" applyAlignment="1">
      <alignment vertical="top"/>
    </xf>
    <xf numFmtId="0" fontId="30" fillId="0" borderId="0" xfId="61" applyFont="1" applyAlignment="1">
      <alignment vertical="center"/>
      <protection/>
    </xf>
    <xf numFmtId="0" fontId="46" fillId="0" borderId="0" xfId="0" applyFont="1" applyAlignment="1">
      <alignment vertical="top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2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6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8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171" fontId="5" fillId="0" borderId="0" xfId="0" applyNumberFormat="1" applyFont="1" applyAlignment="1">
      <alignment horizontal="right" vertical="top" wrapText="1"/>
    </xf>
    <xf numFmtId="171" fontId="53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6" fillId="0" borderId="0" xfId="61" applyFont="1" applyAlignment="1" quotePrefix="1">
      <alignment vertical="center" wrapText="1"/>
      <protection/>
    </xf>
    <xf numFmtId="0" fontId="46" fillId="0" borderId="0" xfId="62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46" fillId="0" borderId="0" xfId="62" applyFont="1" applyAlignment="1">
      <alignment horizontal="center" vertical="center" wrapText="1"/>
      <protection/>
    </xf>
    <xf numFmtId="0" fontId="54" fillId="0" borderId="0" xfId="59" applyFont="1" applyAlignment="1">
      <alignment horizontal="right" vertical="center"/>
      <protection/>
    </xf>
    <xf numFmtId="0" fontId="54" fillId="0" borderId="0" xfId="59" applyFont="1" applyAlignment="1">
      <alignment horizontal="left" vertical="center"/>
      <protection/>
    </xf>
    <xf numFmtId="0" fontId="54" fillId="0" borderId="0" xfId="59" applyFont="1" applyAlignment="1">
      <alignment vertical="center"/>
      <protection/>
    </xf>
    <xf numFmtId="3" fontId="0" fillId="0" borderId="0" xfId="0" applyNumberFormat="1" applyAlignment="1">
      <alignment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1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203" fontId="30" fillId="0" borderId="10" xfId="0" applyNumberFormat="1" applyFont="1" applyBorder="1" applyAlignment="1">
      <alignment horizontal="center"/>
    </xf>
    <xf numFmtId="203" fontId="55" fillId="0" borderId="0" xfId="0" applyNumberFormat="1" applyFont="1" applyAlignment="1">
      <alignment horizontal="center"/>
    </xf>
    <xf numFmtId="203" fontId="46" fillId="0" borderId="0" xfId="44" applyNumberFormat="1" applyFont="1" applyAlignment="1">
      <alignment horizontal="center"/>
    </xf>
    <xf numFmtId="203" fontId="46" fillId="0" borderId="0" xfId="44" applyNumberFormat="1" applyFont="1" applyAlignment="1">
      <alignment/>
    </xf>
    <xf numFmtId="203" fontId="30" fillId="0" borderId="13" xfId="44" applyNumberFormat="1" applyFont="1" applyBorder="1" applyAlignment="1">
      <alignment horizontal="center"/>
    </xf>
    <xf numFmtId="203" fontId="30" fillId="0" borderId="0" xfId="44" applyNumberFormat="1" applyFont="1" applyAlignment="1">
      <alignment horizontal="center"/>
    </xf>
    <xf numFmtId="203" fontId="30" fillId="0" borderId="0" xfId="44" applyNumberFormat="1" applyFont="1" applyAlignment="1">
      <alignment/>
    </xf>
    <xf numFmtId="203" fontId="46" fillId="0" borderId="0" xfId="44" applyNumberFormat="1" applyFont="1" applyAlignment="1">
      <alignment horizontal="center" vertical="center"/>
    </xf>
    <xf numFmtId="173" fontId="46" fillId="0" borderId="0" xfId="44" applyFont="1" applyAlignment="1">
      <alignment horizontal="right"/>
    </xf>
    <xf numFmtId="3" fontId="46" fillId="0" borderId="0" xfId="44" applyNumberFormat="1" applyFont="1" applyAlignment="1">
      <alignment horizontal="right"/>
    </xf>
    <xf numFmtId="173" fontId="46" fillId="0" borderId="0" xfId="44" applyFont="1" applyAlignment="1">
      <alignment/>
    </xf>
    <xf numFmtId="171" fontId="46" fillId="0" borderId="0" xfId="44" applyNumberFormat="1" applyFont="1" applyAlignment="1">
      <alignment/>
    </xf>
    <xf numFmtId="203" fontId="48" fillId="0" borderId="0" xfId="44" applyNumberFormat="1" applyFont="1" applyAlignment="1">
      <alignment horizontal="right" vertical="center"/>
    </xf>
    <xf numFmtId="203" fontId="46" fillId="0" borderId="10" xfId="44" applyNumberFormat="1" applyFont="1" applyBorder="1" applyAlignment="1">
      <alignment horizontal="right" vertical="center"/>
    </xf>
    <xf numFmtId="171" fontId="46" fillId="0" borderId="10" xfId="44" applyNumberFormat="1" applyFont="1" applyBorder="1" applyAlignment="1">
      <alignment horizontal="right"/>
    </xf>
    <xf numFmtId="203" fontId="46" fillId="0" borderId="0" xfId="44" applyNumberFormat="1" applyFont="1" applyAlignment="1">
      <alignment horizontal="right" vertical="center"/>
    </xf>
    <xf numFmtId="171" fontId="46" fillId="0" borderId="0" xfId="44" applyNumberFormat="1" applyFont="1" applyAlignment="1">
      <alignment horizontal="right"/>
    </xf>
    <xf numFmtId="203" fontId="30" fillId="0" borderId="10" xfId="44" applyNumberFormat="1" applyFont="1" applyBorder="1" applyAlignment="1">
      <alignment horizontal="right" vertical="center"/>
    </xf>
    <xf numFmtId="203" fontId="30" fillId="0" borderId="0" xfId="44" applyNumberFormat="1" applyFont="1" applyAlignment="1">
      <alignment horizontal="right" vertical="center"/>
    </xf>
    <xf numFmtId="203" fontId="51" fillId="0" borderId="0" xfId="44" applyNumberFormat="1" applyFont="1" applyAlignment="1">
      <alignment horizontal="right" vertical="center"/>
    </xf>
    <xf numFmtId="173" fontId="46" fillId="0" borderId="10" xfId="44" applyFont="1" applyBorder="1" applyAlignment="1">
      <alignment horizontal="right"/>
    </xf>
    <xf numFmtId="203" fontId="46" fillId="0" borderId="10" xfId="0" applyNumberFormat="1" applyFont="1" applyBorder="1" applyAlignment="1">
      <alignment horizontal="center"/>
    </xf>
    <xf numFmtId="171" fontId="48" fillId="0" borderId="0" xfId="44" applyNumberFormat="1" applyFont="1" applyAlignment="1">
      <alignment horizontal="right"/>
    </xf>
    <xf numFmtId="0" fontId="46" fillId="0" borderId="10" xfId="0" applyFont="1" applyBorder="1" applyAlignment="1">
      <alignment horizontal="center"/>
    </xf>
    <xf numFmtId="173" fontId="46" fillId="0" borderId="0" xfId="44" applyFont="1" applyAlignment="1">
      <alignment horizontal="center"/>
    </xf>
    <xf numFmtId="203" fontId="48" fillId="0" borderId="0" xfId="44" applyNumberFormat="1" applyFont="1" applyAlignment="1">
      <alignment horizontal="right" vertical="center"/>
    </xf>
    <xf numFmtId="0" fontId="48" fillId="0" borderId="0" xfId="0" applyFont="1" applyAlignment="1">
      <alignment/>
    </xf>
    <xf numFmtId="173" fontId="30" fillId="0" borderId="10" xfId="44" applyFont="1" applyBorder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171" fontId="30" fillId="0" borderId="10" xfId="44" applyNumberFormat="1" applyFont="1" applyBorder="1" applyAlignment="1">
      <alignment horizontal="right"/>
    </xf>
    <xf numFmtId="3" fontId="30" fillId="0" borderId="10" xfId="44" applyNumberFormat="1" applyFont="1" applyBorder="1" applyAlignment="1">
      <alignment horizontal="right"/>
    </xf>
    <xf numFmtId="0" fontId="10" fillId="0" borderId="10" xfId="59" applyFont="1" applyBorder="1" applyAlignment="1">
      <alignment horizontal="right"/>
      <protection/>
    </xf>
    <xf numFmtId="0" fontId="50" fillId="0" borderId="10" xfId="0" applyFont="1" applyBorder="1" applyAlignment="1">
      <alignment horizontal="center" vertical="center" wrapText="1"/>
    </xf>
    <xf numFmtId="0" fontId="46" fillId="0" borderId="10" xfId="61" applyFont="1" applyBorder="1" applyAlignment="1">
      <alignment vertical="top"/>
      <protection/>
    </xf>
    <xf numFmtId="0" fontId="10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1" fontId="9" fillId="0" borderId="0" xfId="42" applyNumberFormat="1" applyFont="1" applyBorder="1" applyAlignment="1">
      <alignment/>
    </xf>
    <xf numFmtId="171" fontId="9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173" fontId="12" fillId="0" borderId="0" xfId="42" applyFont="1" applyAlignment="1">
      <alignment horizontal="right"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1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1" fontId="9" fillId="0" borderId="13" xfId="63" applyNumberFormat="1" applyFont="1" applyBorder="1" applyAlignment="1">
      <alignment horizontal="right"/>
      <protection/>
    </xf>
    <xf numFmtId="0" fontId="10" fillId="0" borderId="10" xfId="63" applyFont="1" applyBorder="1">
      <alignment/>
      <protection/>
    </xf>
    <xf numFmtId="3" fontId="12" fillId="0" borderId="0" xfId="0" applyNumberFormat="1" applyFont="1" applyFill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12" fillId="0" borderId="0" xfId="42" applyNumberFormat="1" applyFont="1" applyFill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171" fontId="35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171" fontId="16" fillId="0" borderId="0" xfId="0" applyNumberFormat="1" applyFont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15" fontId="33" fillId="0" borderId="0" xfId="59" applyNumberFormat="1" applyFont="1" applyAlignment="1">
      <alignment horizontal="right" vertical="center" wrapText="1"/>
      <protection/>
    </xf>
    <xf numFmtId="0" fontId="30" fillId="0" borderId="0" xfId="61" applyFont="1" applyAlignment="1">
      <alignment horizontal="right" vertical="top" wrapText="1"/>
      <protection/>
    </xf>
    <xf numFmtId="203" fontId="30" fillId="0" borderId="0" xfId="44" applyNumberFormat="1" applyFont="1" applyAlignment="1">
      <alignment horizontal="right" vertical="top" wrapText="1"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TKOVA%20%20RABOTEN-31.1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2">
          <cell r="A62" t="str">
            <v>Финансов директор: </v>
          </cell>
        </row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итен риск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- свързани лица "/>
      <sheetName val="44-сделки свързани лица"/>
    </sheetNames>
    <sheetDataSet>
      <sheetData sheetId="53">
        <row r="10">
          <cell r="D10">
            <v>0.3192304408238252</v>
          </cell>
          <cell r="F10">
            <v>0.2646924206186254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3" zoomScaleNormal="93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5.71093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0</v>
      </c>
      <c r="B1" s="26"/>
      <c r="C1" s="26"/>
      <c r="D1" s="31" t="s">
        <v>35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19</v>
      </c>
      <c r="D5" s="16" t="s">
        <v>57</v>
      </c>
      <c r="E5" s="57"/>
      <c r="F5" s="29"/>
      <c r="G5" s="29"/>
      <c r="H5" s="29"/>
      <c r="I5" s="29"/>
    </row>
    <row r="6" spans="1:9" ht="17.25" customHeight="1">
      <c r="A6" s="28"/>
      <c r="D6" s="16" t="s">
        <v>62</v>
      </c>
      <c r="E6" s="57"/>
      <c r="F6" s="29"/>
      <c r="G6" s="29"/>
      <c r="H6" s="29"/>
      <c r="I6" s="29"/>
    </row>
    <row r="7" spans="1:9" ht="18.75">
      <c r="A7" s="28"/>
      <c r="D7" s="16" t="s">
        <v>104</v>
      </c>
      <c r="E7" s="57"/>
      <c r="F7" s="29"/>
      <c r="G7" s="29"/>
      <c r="H7" s="29"/>
      <c r="I7" s="29"/>
    </row>
    <row r="8" spans="1:9" ht="18.75">
      <c r="A8" s="28"/>
      <c r="D8" s="16" t="s">
        <v>118</v>
      </c>
      <c r="E8" s="57"/>
      <c r="F8" s="29"/>
      <c r="G8" s="29"/>
      <c r="H8" s="29"/>
      <c r="I8" s="29"/>
    </row>
    <row r="9" spans="1:9" ht="16.5">
      <c r="A9" s="30"/>
      <c r="D9" s="16" t="s">
        <v>147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16</v>
      </c>
      <c r="D12" s="16" t="s">
        <v>57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89</v>
      </c>
      <c r="D15" s="16" t="s">
        <v>88</v>
      </c>
      <c r="E15" s="54"/>
      <c r="F15" s="54"/>
      <c r="G15" s="57"/>
      <c r="H15" s="29"/>
      <c r="I15" s="29"/>
    </row>
    <row r="16" spans="1:9" ht="18.75">
      <c r="A16" s="28"/>
      <c r="D16" s="16"/>
      <c r="E16" s="54"/>
      <c r="F16" s="54"/>
      <c r="G16" s="57"/>
      <c r="H16" s="29"/>
      <c r="I16" s="29"/>
    </row>
    <row r="17" spans="1:9" ht="18.75">
      <c r="A17" s="28"/>
      <c r="D17" s="16"/>
      <c r="E17" s="54"/>
      <c r="F17" s="54"/>
      <c r="G17" s="57"/>
      <c r="H17" s="29"/>
      <c r="I17" s="29"/>
    </row>
    <row r="18" spans="1:9" ht="18.75">
      <c r="A18" s="28" t="s">
        <v>33</v>
      </c>
      <c r="B18" s="28"/>
      <c r="C18" s="28"/>
      <c r="D18" s="16" t="s">
        <v>56</v>
      </c>
      <c r="E18" s="54"/>
      <c r="F18" s="54"/>
      <c r="G18" s="57"/>
      <c r="H18" s="29"/>
      <c r="I18" s="29"/>
    </row>
    <row r="19" spans="1:9" ht="18.75">
      <c r="A19" s="28"/>
      <c r="B19" s="28"/>
      <c r="C19" s="28"/>
      <c r="D19" s="16"/>
      <c r="E19" s="54"/>
      <c r="F19" s="54"/>
      <c r="G19" s="57"/>
      <c r="H19" s="29"/>
      <c r="I19" s="29"/>
    </row>
    <row r="20" spans="1:9" ht="18.75">
      <c r="A20" s="28"/>
      <c r="D20" s="16"/>
      <c r="E20" s="54"/>
      <c r="F20" s="54"/>
      <c r="G20" s="55"/>
      <c r="H20" s="28"/>
      <c r="I20" s="28"/>
    </row>
    <row r="21" spans="1:7" ht="18.75">
      <c r="A21" s="28" t="s">
        <v>1</v>
      </c>
      <c r="D21" s="16" t="s">
        <v>50</v>
      </c>
      <c r="E21" s="54"/>
      <c r="F21" s="54"/>
      <c r="G21" s="55"/>
    </row>
    <row r="22" spans="1:7" ht="18.75">
      <c r="A22" s="28"/>
      <c r="D22" s="16" t="s">
        <v>51</v>
      </c>
      <c r="E22" s="54"/>
      <c r="F22" s="54"/>
      <c r="G22" s="55"/>
    </row>
    <row r="23" spans="1:7" ht="18.75">
      <c r="A23" s="28"/>
      <c r="D23" s="29"/>
      <c r="E23" s="57"/>
      <c r="F23" s="57"/>
      <c r="G23" s="55"/>
    </row>
    <row r="24" spans="1:7" ht="18.75">
      <c r="A24" s="28"/>
      <c r="D24" s="16"/>
      <c r="E24" s="55"/>
      <c r="F24" s="55"/>
      <c r="G24" s="55"/>
    </row>
    <row r="25" spans="1:7" ht="18.75">
      <c r="A25" s="28" t="s">
        <v>106</v>
      </c>
      <c r="C25" s="62"/>
      <c r="D25" s="16" t="s">
        <v>52</v>
      </c>
      <c r="E25" s="54"/>
      <c r="F25" s="55"/>
      <c r="G25" s="55"/>
    </row>
    <row r="26" spans="1:7" ht="18.75">
      <c r="A26" s="28"/>
      <c r="C26" s="62"/>
      <c r="D26" s="16" t="s">
        <v>53</v>
      </c>
      <c r="E26" s="54"/>
      <c r="F26" s="55"/>
      <c r="G26" s="58"/>
    </row>
    <row r="27" spans="1:7" ht="18.75">
      <c r="A27" s="28"/>
      <c r="C27" s="62"/>
      <c r="D27" s="16" t="s">
        <v>72</v>
      </c>
      <c r="E27" s="54"/>
      <c r="F27" s="55"/>
      <c r="G27" s="58"/>
    </row>
    <row r="28" spans="1:7" ht="18.75">
      <c r="A28" s="28"/>
      <c r="C28" s="62"/>
      <c r="D28" s="16" t="s">
        <v>130</v>
      </c>
      <c r="E28" s="54"/>
      <c r="F28" s="55"/>
      <c r="G28" s="58"/>
    </row>
    <row r="29" spans="1:7" ht="18.75">
      <c r="A29" s="28"/>
      <c r="D29" s="16" t="s">
        <v>174</v>
      </c>
      <c r="E29" s="58"/>
      <c r="F29" s="58"/>
      <c r="G29" s="58"/>
    </row>
    <row r="30" spans="1:7" ht="18.75">
      <c r="A30" s="28"/>
      <c r="C30" s="29"/>
      <c r="D30" s="16" t="s">
        <v>107</v>
      </c>
      <c r="E30" s="57"/>
      <c r="F30" s="55"/>
      <c r="G30" s="58"/>
    </row>
    <row r="31" spans="1:7" ht="18.75">
      <c r="A31" s="28"/>
      <c r="D31" s="16"/>
      <c r="E31" s="58"/>
      <c r="F31" s="55"/>
      <c r="G31" s="58"/>
    </row>
    <row r="32" spans="1:9" ht="18.75">
      <c r="A32" s="28" t="s">
        <v>2</v>
      </c>
      <c r="D32" s="16" t="s">
        <v>54</v>
      </c>
      <c r="E32" s="54"/>
      <c r="F32" s="54"/>
      <c r="G32" s="54"/>
      <c r="H32" s="28"/>
      <c r="I32" s="28"/>
    </row>
    <row r="33" spans="1:9" ht="18.75">
      <c r="A33" s="28"/>
      <c r="D33" s="16" t="s">
        <v>55</v>
      </c>
      <c r="E33" s="54"/>
      <c r="F33" s="54"/>
      <c r="G33" s="54"/>
      <c r="H33" s="28"/>
      <c r="I33" s="28"/>
    </row>
    <row r="34" spans="1:7" ht="18.75">
      <c r="A34" s="28"/>
      <c r="D34" s="16" t="s">
        <v>79</v>
      </c>
      <c r="E34" s="54"/>
      <c r="F34" s="54"/>
      <c r="G34" s="54"/>
    </row>
    <row r="35" spans="1:7" ht="18.75">
      <c r="A35" s="28"/>
      <c r="D35" s="16" t="s">
        <v>116</v>
      </c>
      <c r="E35" s="54"/>
      <c r="F35" s="54"/>
      <c r="G35" s="54"/>
    </row>
    <row r="36" spans="1:7" ht="18.75">
      <c r="A36" s="28"/>
      <c r="D36" s="16" t="s">
        <v>80</v>
      </c>
      <c r="E36" s="54"/>
      <c r="F36" s="54"/>
      <c r="G36" s="54"/>
    </row>
    <row r="37" spans="1:7" ht="18.75">
      <c r="A37" s="28"/>
      <c r="D37" s="16" t="s">
        <v>172</v>
      </c>
      <c r="E37" s="54"/>
      <c r="F37" s="54"/>
      <c r="G37" s="54"/>
    </row>
    <row r="38" spans="1:7" ht="18.75">
      <c r="A38" s="28"/>
      <c r="D38" s="16" t="s">
        <v>76</v>
      </c>
      <c r="E38" s="54"/>
      <c r="F38" s="54"/>
      <c r="G38" s="54"/>
    </row>
    <row r="39" spans="1:7" ht="18.75">
      <c r="A39" s="28"/>
      <c r="D39" s="16" t="s">
        <v>117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20</v>
      </c>
      <c r="D41" s="29" t="s">
        <v>141</v>
      </c>
      <c r="E41" s="152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selection activeCell="A43" sqref="A43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2" t="str">
        <f>'Cover '!D1</f>
        <v>СОФАРМА АД</v>
      </c>
      <c r="B1" s="283"/>
      <c r="C1" s="283"/>
      <c r="D1" s="283"/>
      <c r="E1" s="283"/>
      <c r="F1" s="258"/>
    </row>
    <row r="2" spans="1:6" s="40" customFormat="1" ht="15">
      <c r="A2" s="284" t="s">
        <v>195</v>
      </c>
      <c r="B2" s="285"/>
      <c r="C2" s="285"/>
      <c r="D2" s="285"/>
      <c r="E2" s="285"/>
      <c r="F2" s="218"/>
    </row>
    <row r="3" spans="1:6" ht="15">
      <c r="A3" s="82" t="s">
        <v>175</v>
      </c>
      <c r="B3" s="83"/>
      <c r="C3" s="124"/>
      <c r="D3" s="83"/>
      <c r="E3" s="83"/>
      <c r="F3" s="83"/>
    </row>
    <row r="4" spans="1:6" ht="15" customHeight="1">
      <c r="A4" s="113"/>
      <c r="B4" s="286" t="s">
        <v>5</v>
      </c>
      <c r="C4" s="287" t="s">
        <v>176</v>
      </c>
      <c r="D4" s="84"/>
      <c r="E4" s="287" t="s">
        <v>184</v>
      </c>
      <c r="F4" s="219"/>
    </row>
    <row r="5" spans="1:6" ht="12.75" customHeight="1">
      <c r="A5" s="127"/>
      <c r="B5" s="286"/>
      <c r="C5" s="287"/>
      <c r="D5" s="84"/>
      <c r="E5" s="287"/>
      <c r="F5" s="219"/>
    </row>
    <row r="6" spans="1:6" ht="15" customHeight="1">
      <c r="A6" s="114"/>
      <c r="C6" s="150"/>
      <c r="E6" s="150"/>
      <c r="F6" s="150"/>
    </row>
    <row r="7" ht="15">
      <c r="A7" s="103"/>
    </row>
    <row r="8" spans="1:7" ht="15">
      <c r="A8" s="40" t="s">
        <v>64</v>
      </c>
      <c r="B8" s="37">
        <v>3</v>
      </c>
      <c r="C8" s="131">
        <f>230684+7</f>
        <v>230691</v>
      </c>
      <c r="D8" s="99"/>
      <c r="E8" s="131">
        <f>210784+1634</f>
        <v>212418</v>
      </c>
      <c r="F8" s="131"/>
      <c r="G8" s="143"/>
    </row>
    <row r="9" spans="1:8" ht="15">
      <c r="A9" s="40" t="s">
        <v>83</v>
      </c>
      <c r="B9" s="37">
        <v>4</v>
      </c>
      <c r="C9" s="275">
        <f>4392-7-267</f>
        <v>4118</v>
      </c>
      <c r="D9" s="199"/>
      <c r="E9" s="131">
        <f>6544-1634</f>
        <v>4910</v>
      </c>
      <c r="F9" s="131"/>
      <c r="G9" s="116"/>
      <c r="H9" s="117"/>
    </row>
    <row r="10" spans="1:8" ht="27" customHeight="1">
      <c r="A10" s="39" t="s">
        <v>90</v>
      </c>
      <c r="C10" s="131">
        <v>-6192</v>
      </c>
      <c r="D10" s="131"/>
      <c r="E10" s="131">
        <f>1985+31</f>
        <v>2016</v>
      </c>
      <c r="F10" s="131"/>
      <c r="G10" s="116"/>
      <c r="H10" s="117"/>
    </row>
    <row r="11" spans="1:8" ht="15">
      <c r="A11" s="40" t="s">
        <v>91</v>
      </c>
      <c r="B11" s="109">
        <v>5</v>
      </c>
      <c r="C11" s="131">
        <v>-75476</v>
      </c>
      <c r="D11" s="131"/>
      <c r="E11" s="131">
        <v>-75752</v>
      </c>
      <c r="F11" s="131"/>
      <c r="G11" s="116"/>
      <c r="H11" s="117"/>
    </row>
    <row r="12" spans="1:8" ht="15">
      <c r="A12" s="40" t="s">
        <v>3</v>
      </c>
      <c r="B12" s="37">
        <v>6</v>
      </c>
      <c r="C12" s="275">
        <f>-34758-102</f>
        <v>-34860</v>
      </c>
      <c r="D12" s="131"/>
      <c r="E12" s="131">
        <f>-38647-7</f>
        <v>-38654</v>
      </c>
      <c r="F12" s="131"/>
      <c r="G12" s="116"/>
      <c r="H12" s="117"/>
    </row>
    <row r="13" spans="1:8" ht="15">
      <c r="A13" s="40" t="s">
        <v>8</v>
      </c>
      <c r="B13" s="37">
        <v>7</v>
      </c>
      <c r="C13" s="131">
        <v>-49158</v>
      </c>
      <c r="D13" s="131"/>
      <c r="E13" s="131">
        <v>-50147</v>
      </c>
      <c r="F13" s="131"/>
      <c r="G13" s="116"/>
      <c r="H13" s="117"/>
    </row>
    <row r="14" spans="1:8" ht="15">
      <c r="A14" s="40" t="s">
        <v>61</v>
      </c>
      <c r="B14" s="37" t="s">
        <v>126</v>
      </c>
      <c r="C14" s="131">
        <v>-18382</v>
      </c>
      <c r="D14" s="131"/>
      <c r="E14" s="131">
        <f>-17414</f>
        <v>-17414</v>
      </c>
      <c r="F14" s="131"/>
      <c r="G14" s="116"/>
      <c r="H14" s="117"/>
    </row>
    <row r="15" spans="1:8" ht="15">
      <c r="A15" s="40" t="s">
        <v>124</v>
      </c>
      <c r="B15" s="37" t="s">
        <v>183</v>
      </c>
      <c r="C15" s="131">
        <f>-5624+265-45+582</f>
        <v>-4822</v>
      </c>
      <c r="D15" s="99"/>
      <c r="E15" s="131">
        <f>-8919-590-70</f>
        <v>-9579</v>
      </c>
      <c r="F15" s="131"/>
      <c r="G15" s="116"/>
      <c r="H15" s="117"/>
    </row>
    <row r="16" spans="1:8" ht="15">
      <c r="A16" s="82" t="s">
        <v>36</v>
      </c>
      <c r="C16" s="132">
        <f>SUM(C8:C15)</f>
        <v>45919</v>
      </c>
      <c r="D16" s="131"/>
      <c r="E16" s="132">
        <f>SUM(E8:E15)</f>
        <v>27798</v>
      </c>
      <c r="F16" s="259"/>
      <c r="G16" s="116"/>
      <c r="H16" s="117"/>
    </row>
    <row r="17" spans="1:6" ht="7.5" customHeight="1">
      <c r="A17" s="40"/>
      <c r="C17" s="133"/>
      <c r="D17" s="99"/>
      <c r="E17" s="133"/>
      <c r="F17" s="133"/>
    </row>
    <row r="18" spans="1:6" ht="15">
      <c r="A18" s="40" t="s">
        <v>167</v>
      </c>
      <c r="B18" s="37">
        <v>10</v>
      </c>
      <c r="C18" s="277">
        <f>-677-14455</f>
        <v>-15132</v>
      </c>
      <c r="D18" s="99"/>
      <c r="E18" s="153">
        <v>-76</v>
      </c>
      <c r="F18" s="260"/>
    </row>
    <row r="19" spans="1:6" ht="6" customHeight="1">
      <c r="A19" s="40"/>
      <c r="C19" s="133"/>
      <c r="D19" s="99"/>
      <c r="E19" s="133"/>
      <c r="F19" s="133"/>
    </row>
    <row r="20" spans="1:6" ht="15">
      <c r="A20" s="40" t="s">
        <v>81</v>
      </c>
      <c r="B20" s="37">
        <v>11</v>
      </c>
      <c r="C20" s="131">
        <v>17012</v>
      </c>
      <c r="D20" s="99"/>
      <c r="E20" s="131">
        <v>10520</v>
      </c>
      <c r="F20" s="131"/>
    </row>
    <row r="21" spans="1:6" ht="15">
      <c r="A21" s="40" t="s">
        <v>82</v>
      </c>
      <c r="B21" s="37">
        <v>12</v>
      </c>
      <c r="C21" s="131">
        <v>-2905</v>
      </c>
      <c r="D21" s="131"/>
      <c r="E21" s="131">
        <f>-2411+10+656+36</f>
        <v>-1709</v>
      </c>
      <c r="F21" s="131"/>
    </row>
    <row r="22" spans="1:6" ht="15">
      <c r="A22" s="103" t="s">
        <v>121</v>
      </c>
      <c r="C22" s="132">
        <f>C20+C21</f>
        <v>14107</v>
      </c>
      <c r="D22" s="131"/>
      <c r="E22" s="132">
        <f>E20+E21</f>
        <v>8811</v>
      </c>
      <c r="F22" s="259"/>
    </row>
    <row r="23" spans="1:6" ht="8.25" customHeight="1">
      <c r="A23" s="85"/>
      <c r="C23" s="133"/>
      <c r="D23" s="104"/>
      <c r="E23" s="133"/>
      <c r="F23" s="133"/>
    </row>
    <row r="24" spans="1:6" ht="15">
      <c r="A24" s="82" t="s">
        <v>92</v>
      </c>
      <c r="C24" s="134">
        <f>C16+C22+C18</f>
        <v>44894</v>
      </c>
      <c r="D24" s="99"/>
      <c r="E24" s="134">
        <f>E16+E22+E18</f>
        <v>36533</v>
      </c>
      <c r="F24" s="259"/>
    </row>
    <row r="25" spans="1:6" ht="7.5" customHeight="1">
      <c r="A25" s="82"/>
      <c r="C25" s="135"/>
      <c r="D25" s="99"/>
      <c r="E25" s="135"/>
      <c r="F25" s="135"/>
    </row>
    <row r="26" spans="1:6" ht="15">
      <c r="A26" s="40" t="s">
        <v>93</v>
      </c>
      <c r="B26" s="37">
        <v>13</v>
      </c>
      <c r="C26" s="131">
        <f>-4728+79-2+5-58</f>
        <v>-4704</v>
      </c>
      <c r="D26" s="99"/>
      <c r="E26" s="131">
        <f>-3377+59+8-1+145-69</f>
        <v>-3235</v>
      </c>
      <c r="F26" s="131"/>
    </row>
    <row r="27" spans="1:6" ht="15">
      <c r="A27" s="82"/>
      <c r="B27" s="36"/>
      <c r="C27" s="137"/>
      <c r="D27" s="131"/>
      <c r="E27" s="137"/>
      <c r="F27" s="261"/>
    </row>
    <row r="28" spans="1:8" ht="15">
      <c r="A28" s="82" t="s">
        <v>125</v>
      </c>
      <c r="B28" s="148"/>
      <c r="C28" s="134">
        <f>C24+C26</f>
        <v>40190</v>
      </c>
      <c r="D28" s="100"/>
      <c r="E28" s="134">
        <f>E24+E26</f>
        <v>33298</v>
      </c>
      <c r="F28" s="259"/>
      <c r="G28" s="116"/>
      <c r="H28" s="117"/>
    </row>
    <row r="29" spans="1:6" ht="8.25" customHeight="1">
      <c r="A29" s="82"/>
      <c r="B29" s="36"/>
      <c r="C29" s="128"/>
      <c r="D29" s="100"/>
      <c r="E29" s="128"/>
      <c r="F29" s="128"/>
    </row>
    <row r="30" spans="1:6" ht="15">
      <c r="A30" s="102" t="s">
        <v>113</v>
      </c>
      <c r="B30" s="125"/>
      <c r="C30" s="142"/>
      <c r="D30" s="36"/>
      <c r="E30" s="142"/>
      <c r="F30" s="142"/>
    </row>
    <row r="31" spans="1:6" ht="30">
      <c r="A31" s="123" t="s">
        <v>173</v>
      </c>
      <c r="B31" s="125"/>
      <c r="C31" s="154"/>
      <c r="D31" s="129"/>
      <c r="E31" s="154"/>
      <c r="F31" s="154"/>
    </row>
    <row r="32" spans="1:11" ht="30">
      <c r="A32" s="203" t="s">
        <v>168</v>
      </c>
      <c r="B32" s="37">
        <v>20</v>
      </c>
      <c r="C32" s="155">
        <v>-34</v>
      </c>
      <c r="D32" s="99"/>
      <c r="E32" s="155">
        <f>-99-656-37</f>
        <v>-792</v>
      </c>
      <c r="F32" s="155"/>
      <c r="I32" s="116"/>
      <c r="K32" s="116"/>
    </row>
    <row r="33" spans="1:6" ht="30">
      <c r="A33" s="107" t="s">
        <v>166</v>
      </c>
      <c r="B33" s="37">
        <v>34</v>
      </c>
      <c r="C33" s="157">
        <v>16</v>
      </c>
      <c r="D33" s="156"/>
      <c r="E33" s="157">
        <v>-30</v>
      </c>
      <c r="F33" s="157"/>
    </row>
    <row r="34" spans="1:6" ht="15">
      <c r="A34" s="107" t="s">
        <v>148</v>
      </c>
      <c r="B34" s="37">
        <v>15</v>
      </c>
      <c r="C34" s="155">
        <v>0</v>
      </c>
      <c r="D34" s="106"/>
      <c r="E34" s="155">
        <v>341</v>
      </c>
      <c r="F34" s="157"/>
    </row>
    <row r="35" spans="1:6" ht="30">
      <c r="A35" s="107" t="s">
        <v>149</v>
      </c>
      <c r="B35" s="37">
        <v>13</v>
      </c>
      <c r="C35" s="153">
        <v>0</v>
      </c>
      <c r="D35" s="157"/>
      <c r="E35" s="153">
        <v>-34</v>
      </c>
      <c r="F35" s="260"/>
    </row>
    <row r="36" spans="1:6" ht="15">
      <c r="A36" s="105" t="s">
        <v>111</v>
      </c>
      <c r="B36" s="37">
        <v>14</v>
      </c>
      <c r="C36" s="158">
        <f>SUM(C32:C35)</f>
        <v>-18</v>
      </c>
      <c r="D36" s="157"/>
      <c r="E36" s="158">
        <f>SUM(E32:E35)</f>
        <v>-515</v>
      </c>
      <c r="F36" s="262"/>
    </row>
    <row r="37" spans="1:6" ht="9" customHeight="1">
      <c r="A37" s="105"/>
      <c r="C37" s="263"/>
      <c r="D37" s="279"/>
      <c r="E37" s="263"/>
      <c r="F37" s="263"/>
    </row>
    <row r="38" spans="1:6" ht="15.75" thickBot="1">
      <c r="A38" s="105" t="s">
        <v>95</v>
      </c>
      <c r="B38" s="125"/>
      <c r="C38" s="136">
        <f>C36+C28</f>
        <v>40172</v>
      </c>
      <c r="D38" s="122"/>
      <c r="E38" s="136">
        <f>E36+E28</f>
        <v>32783</v>
      </c>
      <c r="F38" s="264"/>
    </row>
    <row r="39" spans="1:6" ht="9.75" customHeight="1" thickTop="1">
      <c r="A39" s="108"/>
      <c r="B39" s="125"/>
      <c r="C39" s="130"/>
      <c r="D39" s="122"/>
      <c r="E39" s="130"/>
      <c r="F39" s="130"/>
    </row>
    <row r="40" spans="1:6" ht="15">
      <c r="A40" s="40" t="s">
        <v>169</v>
      </c>
      <c r="B40" s="37">
        <v>28</v>
      </c>
      <c r="C40" s="280">
        <f>'[3]28 d'!$D$10</f>
        <v>0.3192304408238252</v>
      </c>
      <c r="D40" s="281"/>
      <c r="E40" s="280">
        <f>'[3]28 d'!$F$10</f>
        <v>0.2646924206186254</v>
      </c>
      <c r="F40" s="162"/>
    </row>
    <row r="41" spans="1:4" ht="15">
      <c r="A41" s="53"/>
      <c r="D41" s="159"/>
    </row>
    <row r="42" spans="1:3" ht="15">
      <c r="A42" s="98" t="s">
        <v>200</v>
      </c>
      <c r="C42" s="149"/>
    </row>
    <row r="44" spans="1:3" ht="15">
      <c r="A44" s="13" t="s">
        <v>65</v>
      </c>
      <c r="C44" s="36"/>
    </row>
    <row r="45" ht="15">
      <c r="A45" s="72" t="s">
        <v>66</v>
      </c>
    </row>
    <row r="46" ht="15">
      <c r="A46" s="13" t="s">
        <v>87</v>
      </c>
    </row>
    <row r="47" ht="15">
      <c r="A47" s="72" t="s">
        <v>88</v>
      </c>
    </row>
    <row r="48" ht="15">
      <c r="A48" s="77" t="s">
        <v>84</v>
      </c>
    </row>
    <row r="49" ht="15">
      <c r="A49" s="145" t="s">
        <v>123</v>
      </c>
    </row>
    <row r="50" ht="15">
      <c r="A50" s="257"/>
    </row>
    <row r="51" ht="15">
      <c r="A51" s="166" t="s">
        <v>178</v>
      </c>
    </row>
    <row r="52" spans="1:2" ht="15">
      <c r="A52" s="147"/>
      <c r="B52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25">
      <selection activeCell="C61" sqref="C61"/>
    </sheetView>
  </sheetViews>
  <sheetFormatPr defaultColWidth="9.140625" defaultRowHeight="12.75"/>
  <cols>
    <col min="1" max="1" width="62.421875" style="0" customWidth="1"/>
    <col min="2" max="2" width="10.421875" style="0" customWidth="1"/>
    <col min="3" max="3" width="14.140625" style="0" customWidth="1"/>
    <col min="4" max="4" width="9.7109375" style="0" customWidth="1"/>
    <col min="5" max="5" width="13.57421875" style="0" customWidth="1"/>
    <col min="6" max="6" width="3.421875" style="0" bestFit="1" customWidth="1"/>
    <col min="7" max="7" width="0.2890625" style="0" customWidth="1"/>
  </cols>
  <sheetData>
    <row r="1" spans="1:6" ht="14.25">
      <c r="A1" s="32" t="s">
        <v>35</v>
      </c>
      <c r="B1" s="79"/>
      <c r="C1" s="79"/>
      <c r="D1" s="79"/>
      <c r="E1" s="32"/>
      <c r="F1" s="32"/>
    </row>
    <row r="2" spans="1:6" ht="14.25">
      <c r="A2" s="33" t="s">
        <v>196</v>
      </c>
      <c r="B2" s="80"/>
      <c r="C2" s="80"/>
      <c r="D2" s="80"/>
      <c r="E2" s="33"/>
      <c r="F2" s="33"/>
    </row>
    <row r="3" spans="1:6" ht="15">
      <c r="A3" s="33" t="s">
        <v>182</v>
      </c>
      <c r="B3" s="81"/>
      <c r="C3" s="81"/>
      <c r="D3" s="81"/>
      <c r="E3" s="18"/>
      <c r="F3" s="18"/>
    </row>
    <row r="4" spans="1:7" ht="26.25" customHeight="1">
      <c r="A4" s="86"/>
      <c r="B4" s="286" t="s">
        <v>5</v>
      </c>
      <c r="C4" s="287" t="s">
        <v>177</v>
      </c>
      <c r="D4" s="84"/>
      <c r="E4" s="287" t="s">
        <v>142</v>
      </c>
      <c r="F4" s="160" t="s">
        <v>156</v>
      </c>
      <c r="G4" s="202"/>
    </row>
    <row r="5" spans="2:6" ht="12" customHeight="1">
      <c r="B5" s="286"/>
      <c r="C5" s="288"/>
      <c r="D5" s="84"/>
      <c r="E5" s="288"/>
      <c r="F5" s="204"/>
    </row>
    <row r="6" spans="2:6" ht="15.75" customHeight="1">
      <c r="B6" s="112"/>
      <c r="C6" s="151"/>
      <c r="D6" s="84"/>
      <c r="E6" s="151"/>
      <c r="F6" s="205"/>
    </row>
    <row r="7" spans="1:6" ht="14.25">
      <c r="A7" s="33" t="s">
        <v>4</v>
      </c>
      <c r="B7" s="38"/>
      <c r="C7" s="38"/>
      <c r="D7" s="38"/>
      <c r="E7" s="38"/>
      <c r="F7" s="38"/>
    </row>
    <row r="8" spans="1:6" ht="14.25">
      <c r="A8" s="33" t="s">
        <v>10</v>
      </c>
      <c r="B8" s="35"/>
      <c r="C8" s="35"/>
      <c r="D8" s="35"/>
      <c r="E8" s="35"/>
      <c r="F8" s="35"/>
    </row>
    <row r="9" spans="1:6" ht="15">
      <c r="A9" s="18" t="s">
        <v>37</v>
      </c>
      <c r="B9" s="41">
        <v>15</v>
      </c>
      <c r="C9" s="163">
        <v>225919</v>
      </c>
      <c r="D9" s="41"/>
      <c r="E9" s="163">
        <v>226956</v>
      </c>
      <c r="F9" s="63"/>
    </row>
    <row r="10" spans="1:6" ht="15">
      <c r="A10" s="23" t="s">
        <v>22</v>
      </c>
      <c r="B10" s="41">
        <v>16</v>
      </c>
      <c r="C10" s="163">
        <f>10349-1864</f>
        <v>8485</v>
      </c>
      <c r="D10" s="41"/>
      <c r="E10" s="163">
        <v>11881</v>
      </c>
      <c r="F10" s="63"/>
    </row>
    <row r="11" spans="1:6" ht="15">
      <c r="A11" s="18" t="s">
        <v>38</v>
      </c>
      <c r="B11" s="41">
        <v>17</v>
      </c>
      <c r="C11" s="163">
        <v>39325</v>
      </c>
      <c r="D11" s="41"/>
      <c r="E11" s="163">
        <v>37451</v>
      </c>
      <c r="F11" s="63"/>
    </row>
    <row r="12" spans="1:6" ht="15">
      <c r="A12" s="23" t="s">
        <v>39</v>
      </c>
      <c r="B12" s="41">
        <v>18</v>
      </c>
      <c r="C12" s="163">
        <f>99737-12591</f>
        <v>87146</v>
      </c>
      <c r="D12" s="41"/>
      <c r="E12" s="163">
        <f>89945</f>
        <v>89945</v>
      </c>
      <c r="F12" s="63"/>
    </row>
    <row r="13" spans="1:6" ht="15">
      <c r="A13" s="23" t="s">
        <v>127</v>
      </c>
      <c r="B13" s="41">
        <v>19</v>
      </c>
      <c r="C13" s="163">
        <v>6062</v>
      </c>
      <c r="D13" s="41"/>
      <c r="E13" s="163">
        <v>7962</v>
      </c>
      <c r="F13" s="63"/>
    </row>
    <row r="14" spans="1:6" ht="15">
      <c r="A14" s="164" t="s">
        <v>150</v>
      </c>
      <c r="B14" s="41">
        <v>20</v>
      </c>
      <c r="C14" s="163">
        <v>9644</v>
      </c>
      <c r="D14" s="41"/>
      <c r="E14" s="163">
        <v>7599</v>
      </c>
      <c r="F14" s="63"/>
    </row>
    <row r="15" spans="1:6" ht="15">
      <c r="A15" s="119" t="s">
        <v>108</v>
      </c>
      <c r="B15" s="41">
        <v>21</v>
      </c>
      <c r="C15" s="163">
        <f>91868-101</f>
        <v>91767</v>
      </c>
      <c r="D15" s="41"/>
      <c r="E15" s="163">
        <v>23055</v>
      </c>
      <c r="F15" s="200"/>
    </row>
    <row r="16" spans="1:6" ht="15">
      <c r="A16" s="119" t="s">
        <v>109</v>
      </c>
      <c r="B16" s="41">
        <v>22</v>
      </c>
      <c r="C16" s="163">
        <v>9573</v>
      </c>
      <c r="D16" s="41"/>
      <c r="E16" s="163">
        <v>5760</v>
      </c>
      <c r="F16" s="200"/>
    </row>
    <row r="17" spans="1:10" ht="15">
      <c r="A17" s="15"/>
      <c r="B17" s="139"/>
      <c r="C17" s="65">
        <f>SUM(C9:C16)</f>
        <v>477921</v>
      </c>
      <c r="D17" s="35"/>
      <c r="E17" s="65">
        <f>SUM(E9:E16)</f>
        <v>410609</v>
      </c>
      <c r="F17" s="66"/>
      <c r="J17" s="160" t="s">
        <v>77</v>
      </c>
    </row>
    <row r="18" spans="1:6" ht="14.25" customHeight="1">
      <c r="A18" s="33" t="s">
        <v>11</v>
      </c>
      <c r="B18" s="35"/>
      <c r="C18" s="64"/>
      <c r="D18" s="35"/>
      <c r="E18" s="64"/>
      <c r="F18" s="64"/>
    </row>
    <row r="19" spans="1:6" ht="15">
      <c r="A19" s="18" t="s">
        <v>7</v>
      </c>
      <c r="B19" s="41">
        <v>23</v>
      </c>
      <c r="C19" s="63">
        <v>61336</v>
      </c>
      <c r="D19" s="41"/>
      <c r="E19" s="63">
        <v>68499</v>
      </c>
      <c r="F19" s="63"/>
    </row>
    <row r="20" spans="1:6" ht="15">
      <c r="A20" s="18" t="s">
        <v>45</v>
      </c>
      <c r="B20" s="41">
        <v>24</v>
      </c>
      <c r="C20" s="63">
        <f>97549-684+582</f>
        <v>97447</v>
      </c>
      <c r="D20" s="201"/>
      <c r="E20" s="63">
        <v>91509</v>
      </c>
      <c r="F20" s="200"/>
    </row>
    <row r="21" spans="1:6" ht="15">
      <c r="A21" s="18" t="s">
        <v>100</v>
      </c>
      <c r="B21" s="41">
        <v>25</v>
      </c>
      <c r="C21" s="278">
        <f>27189-45-102+143</f>
        <v>27185</v>
      </c>
      <c r="D21" s="41"/>
      <c r="E21" s="163">
        <f>19721-220-70</f>
        <v>19431</v>
      </c>
      <c r="F21" s="200"/>
    </row>
    <row r="22" spans="1:6" ht="15">
      <c r="A22" s="15" t="s">
        <v>131</v>
      </c>
      <c r="B22" s="41" t="s">
        <v>134</v>
      </c>
      <c r="C22" s="63">
        <f>5674-9</f>
        <v>5665</v>
      </c>
      <c r="D22" s="41"/>
      <c r="E22" s="63">
        <v>3270</v>
      </c>
      <c r="F22" s="200"/>
    </row>
    <row r="23" spans="1:6" ht="15">
      <c r="A23" s="15" t="s">
        <v>67</v>
      </c>
      <c r="B23" s="41" t="s">
        <v>135</v>
      </c>
      <c r="C23" s="278">
        <f>6068+32</f>
        <v>6100</v>
      </c>
      <c r="D23" s="41"/>
      <c r="E23" s="163">
        <f>5717+220</f>
        <v>5937</v>
      </c>
      <c r="F23" s="63"/>
    </row>
    <row r="24" spans="1:6" ht="15">
      <c r="A24" s="18" t="s">
        <v>32</v>
      </c>
      <c r="B24" s="41">
        <v>27</v>
      </c>
      <c r="C24" s="63">
        <v>3959</v>
      </c>
      <c r="D24" s="41"/>
      <c r="E24" s="63">
        <v>8971</v>
      </c>
      <c r="F24" s="63"/>
    </row>
    <row r="25" spans="1:6" ht="14.25">
      <c r="A25" s="33"/>
      <c r="B25" s="35"/>
      <c r="C25" s="65">
        <f>SUM(C19:C24)</f>
        <v>201692</v>
      </c>
      <c r="D25" s="35"/>
      <c r="E25" s="65">
        <f>SUM(E19:E24)</f>
        <v>197617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58</v>
      </c>
      <c r="B27" s="139"/>
      <c r="C27" s="67">
        <f>SUM(C17+C25)</f>
        <v>679613</v>
      </c>
      <c r="D27" s="35"/>
      <c r="E27" s="67">
        <f>SUM(E17+E25)</f>
        <v>608226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15</v>
      </c>
      <c r="B29" s="38"/>
      <c r="C29" s="87"/>
      <c r="D29" s="38"/>
      <c r="E29" s="87"/>
      <c r="F29" s="87"/>
    </row>
    <row r="30" spans="1:6" ht="17.25" customHeight="1">
      <c r="A30" s="33" t="s">
        <v>40</v>
      </c>
      <c r="B30" s="38"/>
      <c r="C30" s="87"/>
      <c r="D30" s="38"/>
      <c r="E30" s="87"/>
      <c r="F30" s="87"/>
    </row>
    <row r="31" spans="1:6" ht="15">
      <c r="A31" s="18" t="s">
        <v>26</v>
      </c>
      <c r="B31" s="75"/>
      <c r="C31" s="118">
        <v>134798</v>
      </c>
      <c r="D31" s="75"/>
      <c r="E31" s="118">
        <v>134798</v>
      </c>
      <c r="F31" s="118"/>
    </row>
    <row r="32" spans="1:8" ht="15">
      <c r="A32" s="18" t="s">
        <v>101</v>
      </c>
      <c r="B32" s="75"/>
      <c r="C32" s="118">
        <v>-34142</v>
      </c>
      <c r="D32" s="75"/>
      <c r="E32" s="118">
        <v>-33337</v>
      </c>
      <c r="F32" s="118"/>
      <c r="H32" s="101"/>
    </row>
    <row r="33" spans="1:6" ht="15">
      <c r="A33" s="18" t="s">
        <v>75</v>
      </c>
      <c r="B33" s="75"/>
      <c r="C33" s="118">
        <v>382397</v>
      </c>
      <c r="D33" s="75"/>
      <c r="E33" s="118">
        <v>357310</v>
      </c>
      <c r="F33" s="118"/>
    </row>
    <row r="34" spans="1:7" ht="15">
      <c r="A34" s="18" t="s">
        <v>98</v>
      </c>
      <c r="B34" s="75"/>
      <c r="C34" s="276">
        <f>-941+54645-12591-1864</f>
        <v>39249</v>
      </c>
      <c r="D34" s="75"/>
      <c r="E34" s="118">
        <f>30372+145-69</f>
        <v>30448</v>
      </c>
      <c r="F34" s="200"/>
      <c r="G34" s="101"/>
    </row>
    <row r="35" spans="1:6" ht="14.25">
      <c r="A35" s="33"/>
      <c r="B35" s="38">
        <v>28</v>
      </c>
      <c r="C35" s="215">
        <f>SUM(C31:C34)</f>
        <v>522302</v>
      </c>
      <c r="D35" s="41"/>
      <c r="E35" s="215">
        <f>SUM(E31:E34)</f>
        <v>489219</v>
      </c>
      <c r="F35" s="69"/>
    </row>
    <row r="36" spans="1:6" ht="14.25">
      <c r="A36" s="33" t="s">
        <v>41</v>
      </c>
      <c r="B36" s="35"/>
      <c r="C36" s="75"/>
      <c r="D36" s="75"/>
      <c r="E36" s="75"/>
      <c r="F36" s="75"/>
    </row>
    <row r="37" spans="1:6" ht="15">
      <c r="A37" s="33" t="s">
        <v>34</v>
      </c>
      <c r="B37" s="75"/>
      <c r="C37" s="75"/>
      <c r="D37" s="75"/>
      <c r="E37" s="63"/>
      <c r="F37" s="64"/>
    </row>
    <row r="38" spans="1:7" ht="15">
      <c r="A38" s="18" t="s">
        <v>68</v>
      </c>
      <c r="B38" s="75">
        <v>29</v>
      </c>
      <c r="C38" s="63">
        <v>2397</v>
      </c>
      <c r="D38" s="75"/>
      <c r="E38" s="63">
        <v>9556</v>
      </c>
      <c r="F38" s="118"/>
      <c r="G38" s="214"/>
    </row>
    <row r="39" spans="1:6" ht="15">
      <c r="A39" s="23" t="s">
        <v>18</v>
      </c>
      <c r="B39" s="75">
        <v>30</v>
      </c>
      <c r="C39" s="274">
        <f>5998-79-5+58</f>
        <v>5972</v>
      </c>
      <c r="D39" s="75"/>
      <c r="E39" s="63">
        <v>6235</v>
      </c>
      <c r="F39" s="200"/>
    </row>
    <row r="40" spans="1:6" ht="15">
      <c r="A40" s="126" t="s">
        <v>114</v>
      </c>
      <c r="B40" s="75">
        <v>31</v>
      </c>
      <c r="C40" s="63">
        <v>4858</v>
      </c>
      <c r="D40" s="75"/>
      <c r="E40" s="63">
        <v>5397</v>
      </c>
      <c r="F40" s="118"/>
    </row>
    <row r="41" spans="1:6" ht="15">
      <c r="A41" s="126" t="s">
        <v>192</v>
      </c>
      <c r="B41" s="75">
        <v>32</v>
      </c>
      <c r="C41" s="63">
        <v>1610</v>
      </c>
      <c r="E41" s="266">
        <v>0</v>
      </c>
      <c r="F41" s="118"/>
    </row>
    <row r="42" spans="1:6" ht="15">
      <c r="A42" s="126" t="s">
        <v>191</v>
      </c>
      <c r="B42" s="75">
        <v>33</v>
      </c>
      <c r="C42" s="63">
        <v>2369</v>
      </c>
      <c r="E42" s="266">
        <v>0</v>
      </c>
      <c r="F42" s="118"/>
    </row>
    <row r="43" spans="1:8" ht="15">
      <c r="A43" s="18" t="s">
        <v>115</v>
      </c>
      <c r="B43" s="75">
        <v>34</v>
      </c>
      <c r="C43" s="63">
        <v>4638</v>
      </c>
      <c r="D43" s="75"/>
      <c r="E43" s="63">
        <v>4418</v>
      </c>
      <c r="F43" s="118"/>
      <c r="H43" s="101"/>
    </row>
    <row r="44" spans="1:6" ht="15">
      <c r="A44" s="15"/>
      <c r="B44" s="35"/>
      <c r="C44" s="215">
        <f>SUM(C38:C43)</f>
        <v>21844</v>
      </c>
      <c r="D44" s="35"/>
      <c r="E44" s="215">
        <f>SUM(E38:E43)</f>
        <v>25606</v>
      </c>
      <c r="F44" s="69"/>
    </row>
    <row r="45" spans="1:6" ht="6.75" customHeight="1">
      <c r="A45" s="15"/>
      <c r="B45" s="35"/>
      <c r="C45" s="265"/>
      <c r="D45" s="35"/>
      <c r="E45" s="265"/>
      <c r="F45" s="69"/>
    </row>
    <row r="46" spans="1:6" ht="15">
      <c r="A46" s="33" t="s">
        <v>23</v>
      </c>
      <c r="B46" s="89"/>
      <c r="C46" s="89"/>
      <c r="D46" s="89"/>
      <c r="E46" s="63"/>
      <c r="F46" s="90"/>
    </row>
    <row r="47" spans="1:6" ht="15">
      <c r="A47" s="24" t="s">
        <v>69</v>
      </c>
      <c r="B47" s="41">
        <v>35</v>
      </c>
      <c r="C47" s="63">
        <v>100377</v>
      </c>
      <c r="D47" s="41"/>
      <c r="E47" s="63">
        <v>65652</v>
      </c>
      <c r="F47" s="118"/>
    </row>
    <row r="48" spans="1:6" ht="15">
      <c r="A48" s="24" t="s">
        <v>74</v>
      </c>
      <c r="B48" s="41">
        <v>29</v>
      </c>
      <c r="C48" s="63">
        <v>7181</v>
      </c>
      <c r="D48" s="41"/>
      <c r="E48" s="63">
        <v>7168</v>
      </c>
      <c r="F48" s="118"/>
    </row>
    <row r="49" spans="1:6" ht="15">
      <c r="A49" s="24" t="s">
        <v>102</v>
      </c>
      <c r="B49" s="41">
        <v>36</v>
      </c>
      <c r="C49" s="63">
        <v>5814</v>
      </c>
      <c r="D49" s="41"/>
      <c r="E49" s="63">
        <v>8922</v>
      </c>
      <c r="F49" s="118"/>
    </row>
    <row r="50" spans="1:6" ht="15">
      <c r="A50" s="24" t="s">
        <v>46</v>
      </c>
      <c r="B50" s="41">
        <v>37</v>
      </c>
      <c r="C50" s="63">
        <v>6618</v>
      </c>
      <c r="D50" s="41"/>
      <c r="E50" s="63">
        <v>633</v>
      </c>
      <c r="F50" s="118"/>
    </row>
    <row r="51" spans="1:6" ht="15">
      <c r="A51" s="24" t="s">
        <v>42</v>
      </c>
      <c r="B51" s="41">
        <v>38</v>
      </c>
      <c r="C51" s="63">
        <v>2381</v>
      </c>
      <c r="D51" s="41"/>
      <c r="E51" s="63">
        <v>1884</v>
      </c>
      <c r="F51" s="118"/>
    </row>
    <row r="52" spans="1:6" ht="16.5" customHeight="1">
      <c r="A52" s="52" t="s">
        <v>59</v>
      </c>
      <c r="B52" s="41">
        <v>39</v>
      </c>
      <c r="C52" s="63">
        <v>7249</v>
      </c>
      <c r="D52" s="41"/>
      <c r="E52" s="63">
        <v>7119</v>
      </c>
      <c r="F52" s="118"/>
    </row>
    <row r="53" spans="1:6" ht="15">
      <c r="A53" s="24" t="s">
        <v>24</v>
      </c>
      <c r="B53" s="41">
        <v>40</v>
      </c>
      <c r="C53" s="63">
        <v>5847</v>
      </c>
      <c r="D53" s="41"/>
      <c r="E53" s="63">
        <v>2023</v>
      </c>
      <c r="F53" s="200"/>
    </row>
    <row r="54" spans="1:6" ht="14.25">
      <c r="A54" s="33"/>
      <c r="B54" s="35"/>
      <c r="C54" s="68">
        <f>SUM(C47:C53)</f>
        <v>135467</v>
      </c>
      <c r="D54" s="35"/>
      <c r="E54" s="68">
        <f>SUM(E47:E53)</f>
        <v>93401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43</v>
      </c>
      <c r="B56" s="35"/>
      <c r="C56" s="70">
        <f>C44+C54</f>
        <v>157311</v>
      </c>
      <c r="D56" s="35"/>
      <c r="E56" s="70">
        <f>E44+E54</f>
        <v>119007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44</v>
      </c>
      <c r="B58" s="35"/>
      <c r="C58" s="71">
        <f>C35+C56</f>
        <v>679613</v>
      </c>
      <c r="D58" s="35"/>
      <c r="E58" s="71">
        <f>E35+E56</f>
        <v>608226</v>
      </c>
      <c r="F58" s="69"/>
    </row>
    <row r="59" spans="1:6" ht="7.5" customHeight="1" thickTop="1">
      <c r="A59" s="18"/>
      <c r="B59" s="41"/>
      <c r="C59" s="121"/>
      <c r="D59" s="41"/>
      <c r="E59" s="121"/>
      <c r="F59" s="121"/>
    </row>
    <row r="60" spans="1:6" ht="17.25" customHeight="1">
      <c r="A60" s="18"/>
      <c r="B60" s="41"/>
      <c r="C60" s="121"/>
      <c r="D60" s="41"/>
      <c r="E60" s="121"/>
      <c r="F60" s="121"/>
    </row>
    <row r="61" spans="1:6" ht="15" customHeight="1">
      <c r="A61" s="96" t="str">
        <f>SCI!A42</f>
        <v>Приложенията на страници от 5 до 140 са неразделна част от индивидуалния финансов отчет.</v>
      </c>
      <c r="B61" s="97"/>
      <c r="C61" s="144"/>
      <c r="D61" s="144"/>
      <c r="E61" s="144"/>
      <c r="F61" s="144"/>
    </row>
    <row r="62" spans="1:6" ht="6.75" customHeight="1">
      <c r="A62" s="96"/>
      <c r="B62" s="97"/>
      <c r="C62" s="144"/>
      <c r="D62" s="144"/>
      <c r="E62" s="144"/>
      <c r="F62" s="144"/>
    </row>
    <row r="63" spans="1:6" s="14" customFormat="1" ht="15">
      <c r="A63" s="13" t="s">
        <v>65</v>
      </c>
      <c r="B63" s="37"/>
      <c r="C63" s="141"/>
      <c r="D63" s="37"/>
      <c r="E63" s="141"/>
      <c r="F63" s="140"/>
    </row>
    <row r="64" spans="1:6" s="14" customFormat="1" ht="13.5" customHeight="1">
      <c r="A64" s="72" t="s">
        <v>66</v>
      </c>
      <c r="B64" s="37"/>
      <c r="C64" s="37"/>
      <c r="D64" s="37"/>
      <c r="E64" s="140"/>
      <c r="F64" s="140"/>
    </row>
    <row r="65" spans="1:6" s="14" customFormat="1" ht="6" customHeight="1">
      <c r="A65" s="72"/>
      <c r="B65" s="37"/>
      <c r="C65" s="37"/>
      <c r="D65" s="37"/>
      <c r="E65" s="37"/>
      <c r="F65" s="37"/>
    </row>
    <row r="66" spans="1:6" s="14" customFormat="1" ht="13.5" customHeight="1">
      <c r="A66" s="13" t="str">
        <f>SCI!A46</f>
        <v>Финансов директор: </v>
      </c>
      <c r="B66" s="37"/>
      <c r="C66" s="37"/>
      <c r="D66" s="37"/>
      <c r="E66" s="37"/>
      <c r="F66" s="37"/>
    </row>
    <row r="67" spans="1:6" s="14" customFormat="1" ht="12.75" customHeight="1">
      <c r="A67" s="72" t="str">
        <f>SCI!A47</f>
        <v>Борис Борисов</v>
      </c>
      <c r="B67" s="37"/>
      <c r="C67" s="37"/>
      <c r="D67" s="37"/>
      <c r="E67" s="140"/>
      <c r="F67" s="140"/>
    </row>
    <row r="68" spans="1:6" s="14" customFormat="1" ht="4.5" customHeight="1">
      <c r="A68" s="72"/>
      <c r="B68" s="37"/>
      <c r="C68" s="37"/>
      <c r="D68" s="37"/>
      <c r="E68" s="37"/>
      <c r="F68" s="37"/>
    </row>
    <row r="69" spans="1:6" s="14" customFormat="1" ht="12" customHeight="1">
      <c r="A69" s="77" t="s">
        <v>84</v>
      </c>
      <c r="B69" s="37"/>
      <c r="C69" s="37"/>
      <c r="D69" s="37"/>
      <c r="E69" s="37"/>
      <c r="F69" s="37"/>
    </row>
    <row r="70" spans="1:6" s="14" customFormat="1" ht="12.75" customHeight="1">
      <c r="A70" s="78" t="s">
        <v>56</v>
      </c>
      <c r="B70" s="37"/>
      <c r="C70" s="37"/>
      <c r="D70" s="37"/>
      <c r="E70" s="37"/>
      <c r="F70" s="37"/>
    </row>
    <row r="71" spans="1:6" s="14" customFormat="1" ht="12.75" customHeight="1">
      <c r="A71" s="254"/>
      <c r="B71" s="37"/>
      <c r="C71" s="37"/>
      <c r="D71" s="37"/>
      <c r="E71" s="37"/>
      <c r="F71" s="37"/>
    </row>
    <row r="72" spans="1:2" ht="12.75">
      <c r="A72" s="166" t="str">
        <f>SCI!A51</f>
        <v>* Модифицирано ретроспективно приложение на МСФО 16 (Приложение № 32 и Приложение № 33)</v>
      </c>
      <c r="B72" s="37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view="pageBreakPreview" zoomScaleSheetLayoutView="100" zoomScalePageLayoutView="0" workbookViewId="0" topLeftCell="A19">
      <selection activeCell="A23" sqref="A23:IV23"/>
    </sheetView>
  </sheetViews>
  <sheetFormatPr defaultColWidth="2.57421875" defaultRowHeight="12.75"/>
  <cols>
    <col min="1" max="1" width="61.281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АД</v>
      </c>
      <c r="B1" s="217"/>
      <c r="C1" s="217"/>
      <c r="D1" s="217"/>
      <c r="E1" s="217"/>
    </row>
    <row r="2" spans="1:5" s="3" customFormat="1" ht="15">
      <c r="A2" s="17" t="s">
        <v>197</v>
      </c>
      <c r="B2" s="44"/>
      <c r="C2" s="44"/>
      <c r="D2" s="44"/>
      <c r="E2" s="44"/>
    </row>
    <row r="3" spans="1:5" s="3" customFormat="1" ht="15">
      <c r="A3" s="82" t="str">
        <f>SCI!A3</f>
        <v>за годината, завършваща на 31 декември 2019 година</v>
      </c>
      <c r="B3" s="44"/>
      <c r="C3" s="44"/>
      <c r="D3" s="44"/>
      <c r="E3" s="44"/>
    </row>
    <row r="4" spans="1:5" ht="17.25" customHeight="1">
      <c r="A4" s="289" t="s">
        <v>5</v>
      </c>
      <c r="B4" s="289"/>
      <c r="C4" s="56">
        <v>2019</v>
      </c>
      <c r="D4" s="59"/>
      <c r="E4" s="56" t="s">
        <v>189</v>
      </c>
    </row>
    <row r="5" spans="1:5" ht="14.25" customHeight="1">
      <c r="A5" s="45"/>
      <c r="B5" s="12"/>
      <c r="C5" s="42" t="s">
        <v>9</v>
      </c>
      <c r="D5" s="12"/>
      <c r="E5" s="42" t="s">
        <v>9</v>
      </c>
    </row>
    <row r="6" spans="1:5" ht="12.75" customHeight="1">
      <c r="A6" s="45"/>
      <c r="B6" s="12"/>
      <c r="C6" s="151"/>
      <c r="D6" s="12"/>
      <c r="E6" s="151"/>
    </row>
    <row r="7" spans="1:5" ht="15">
      <c r="A7" s="43" t="s">
        <v>12</v>
      </c>
      <c r="B7" s="46"/>
      <c r="C7" s="47"/>
      <c r="D7" s="46"/>
      <c r="E7" s="47"/>
    </row>
    <row r="8" spans="1:5" ht="15">
      <c r="A8" s="48" t="s">
        <v>6</v>
      </c>
      <c r="B8" s="46"/>
      <c r="C8" s="73">
        <v>232064</v>
      </c>
      <c r="D8" s="46"/>
      <c r="E8" s="73">
        <v>220302</v>
      </c>
    </row>
    <row r="9" spans="1:5" ht="15">
      <c r="A9" s="48" t="s">
        <v>73</v>
      </c>
      <c r="B9" s="46"/>
      <c r="C9" s="73">
        <v>-122743</v>
      </c>
      <c r="D9" s="46"/>
      <c r="E9" s="73">
        <v>-128291</v>
      </c>
    </row>
    <row r="10" spans="1:5" ht="15">
      <c r="A10" s="48" t="s">
        <v>29</v>
      </c>
      <c r="B10" s="46"/>
      <c r="C10" s="73">
        <v>-46834</v>
      </c>
      <c r="D10" s="46"/>
      <c r="E10" s="73">
        <v>-47343</v>
      </c>
    </row>
    <row r="11" spans="1:5" s="6" customFormat="1" ht="15">
      <c r="A11" s="48" t="s">
        <v>27</v>
      </c>
      <c r="B11" s="49"/>
      <c r="C11" s="73">
        <v>-9433</v>
      </c>
      <c r="D11" s="49"/>
      <c r="E11" s="73">
        <v>-8184</v>
      </c>
    </row>
    <row r="12" spans="1:5" s="6" customFormat="1" ht="15">
      <c r="A12" s="48" t="s">
        <v>30</v>
      </c>
      <c r="B12" s="49"/>
      <c r="C12" s="73">
        <v>1786</v>
      </c>
      <c r="D12" s="49"/>
      <c r="E12" s="73">
        <v>1998</v>
      </c>
    </row>
    <row r="13" spans="1:5" s="6" customFormat="1" ht="15">
      <c r="A13" s="48" t="s">
        <v>128</v>
      </c>
      <c r="B13" s="49"/>
      <c r="C13" s="73">
        <v>-4570</v>
      </c>
      <c r="D13" s="49"/>
      <c r="E13" s="73">
        <v>-4062</v>
      </c>
    </row>
    <row r="14" spans="1:5" s="6" customFormat="1" ht="15">
      <c r="A14" s="48" t="s">
        <v>60</v>
      </c>
      <c r="B14" s="49"/>
      <c r="C14" s="73">
        <v>-1656</v>
      </c>
      <c r="D14" s="49"/>
      <c r="E14" s="73">
        <v>-1090</v>
      </c>
    </row>
    <row r="15" spans="1:5" s="6" customFormat="1" ht="15">
      <c r="A15" s="48" t="s">
        <v>86</v>
      </c>
      <c r="B15" s="49"/>
      <c r="C15" s="73">
        <v>-180</v>
      </c>
      <c r="D15" s="49"/>
      <c r="E15" s="73">
        <v>-165</v>
      </c>
    </row>
    <row r="16" spans="1:5" ht="15">
      <c r="A16" s="48" t="s">
        <v>25</v>
      </c>
      <c r="B16" s="49"/>
      <c r="C16" s="73">
        <v>-624</v>
      </c>
      <c r="D16" s="49"/>
      <c r="E16" s="73">
        <v>-848</v>
      </c>
    </row>
    <row r="17" spans="1:5" s="6" customFormat="1" ht="14.25">
      <c r="A17" s="161" t="s">
        <v>122</v>
      </c>
      <c r="B17" s="49"/>
      <c r="C17" s="74">
        <f>SUM(C8:C16)</f>
        <v>47810</v>
      </c>
      <c r="D17" s="49"/>
      <c r="E17" s="74">
        <f>SUM(E8:E16)</f>
        <v>32317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13</v>
      </c>
      <c r="B19" s="49"/>
      <c r="C19" s="60"/>
      <c r="D19" s="49"/>
      <c r="E19" s="60"/>
    </row>
    <row r="20" spans="1:5" ht="15">
      <c r="A20" s="48" t="s">
        <v>21</v>
      </c>
      <c r="B20" s="49"/>
      <c r="C20" s="73">
        <v>-8817</v>
      </c>
      <c r="D20" s="73"/>
      <c r="E20" s="73">
        <v>-10607</v>
      </c>
    </row>
    <row r="21" spans="1:5" ht="15">
      <c r="A21" s="51" t="s">
        <v>47</v>
      </c>
      <c r="B21" s="49"/>
      <c r="C21" s="73">
        <v>111</v>
      </c>
      <c r="D21" s="73"/>
      <c r="E21" s="73">
        <v>272</v>
      </c>
    </row>
    <row r="22" spans="1:5" ht="15">
      <c r="A22" s="48" t="s">
        <v>48</v>
      </c>
      <c r="B22" s="49"/>
      <c r="C22" s="73">
        <v>0</v>
      </c>
      <c r="D22" s="73"/>
      <c r="E22" s="73">
        <v>-282</v>
      </c>
    </row>
    <row r="23" spans="1:5" ht="15">
      <c r="A23" s="48" t="s">
        <v>190</v>
      </c>
      <c r="B23" s="49"/>
      <c r="C23" s="73">
        <v>-193</v>
      </c>
      <c r="D23" s="73"/>
      <c r="E23" s="73">
        <v>0</v>
      </c>
    </row>
    <row r="24" spans="1:5" ht="15">
      <c r="A24" s="48" t="s">
        <v>136</v>
      </c>
      <c r="B24" s="49"/>
      <c r="C24" s="73">
        <v>-192</v>
      </c>
      <c r="D24" s="73"/>
      <c r="E24" s="73">
        <v>-227</v>
      </c>
    </row>
    <row r="25" spans="1:5" ht="15">
      <c r="A25" s="48" t="s">
        <v>140</v>
      </c>
      <c r="B25" s="49"/>
      <c r="C25" s="73">
        <v>4799</v>
      </c>
      <c r="D25" s="73"/>
      <c r="E25" s="73">
        <v>7</v>
      </c>
    </row>
    <row r="26" spans="1:5" ht="15">
      <c r="A26" s="48" t="s">
        <v>151</v>
      </c>
      <c r="B26" s="49"/>
      <c r="C26" s="73">
        <v>-2170</v>
      </c>
      <c r="D26" s="165"/>
      <c r="E26" s="73">
        <v>-1744</v>
      </c>
    </row>
    <row r="27" spans="1:5" ht="15">
      <c r="A27" s="48" t="s">
        <v>152</v>
      </c>
      <c r="B27" s="49"/>
      <c r="C27" s="73">
        <v>90</v>
      </c>
      <c r="D27" s="165"/>
      <c r="E27" s="73">
        <v>907</v>
      </c>
    </row>
    <row r="28" spans="1:5" s="216" customFormat="1" ht="15">
      <c r="A28" s="48" t="s">
        <v>185</v>
      </c>
      <c r="B28" s="49"/>
      <c r="C28" s="73">
        <v>-11193</v>
      </c>
      <c r="D28" s="165"/>
      <c r="E28" s="73">
        <v>-257</v>
      </c>
    </row>
    <row r="29" spans="1:5" ht="15">
      <c r="A29" s="48" t="s">
        <v>186</v>
      </c>
      <c r="B29" s="49"/>
      <c r="C29" s="73">
        <v>1627</v>
      </c>
      <c r="D29" s="165"/>
      <c r="E29" s="73">
        <v>0</v>
      </c>
    </row>
    <row r="30" spans="1:5" ht="15">
      <c r="A30" s="48" t="s">
        <v>133</v>
      </c>
      <c r="B30" s="49"/>
      <c r="C30" s="73">
        <v>9114</v>
      </c>
      <c r="D30" s="73"/>
      <c r="E30" s="73">
        <v>8693</v>
      </c>
    </row>
    <row r="31" spans="1:5" ht="15">
      <c r="A31" s="95" t="s">
        <v>171</v>
      </c>
      <c r="B31" s="49"/>
      <c r="C31" s="73">
        <v>160</v>
      </c>
      <c r="D31" s="165"/>
      <c r="E31" s="73">
        <v>96</v>
      </c>
    </row>
    <row r="32" spans="1:5" ht="15">
      <c r="A32" s="51" t="s">
        <v>94</v>
      </c>
      <c r="B32" s="49"/>
      <c r="C32" s="73">
        <v>-94040</v>
      </c>
      <c r="D32" s="73"/>
      <c r="E32" s="73">
        <v>-31268</v>
      </c>
    </row>
    <row r="33" spans="1:5" ht="15">
      <c r="A33" s="48" t="s">
        <v>96</v>
      </c>
      <c r="B33" s="49"/>
      <c r="C33" s="73">
        <v>26104</v>
      </c>
      <c r="D33" s="73"/>
      <c r="E33" s="73">
        <v>22676</v>
      </c>
    </row>
    <row r="34" spans="1:5" ht="15">
      <c r="A34" s="48" t="s">
        <v>105</v>
      </c>
      <c r="B34" s="49"/>
      <c r="C34" s="73">
        <v>-8523</v>
      </c>
      <c r="D34" s="73"/>
      <c r="E34" s="73">
        <v>-7442</v>
      </c>
    </row>
    <row r="35" spans="1:5" ht="15">
      <c r="A35" s="48" t="s">
        <v>97</v>
      </c>
      <c r="B35" s="49"/>
      <c r="C35" s="73">
        <v>2405</v>
      </c>
      <c r="D35" s="73"/>
      <c r="E35" s="73">
        <v>5134</v>
      </c>
    </row>
    <row r="36" spans="1:5" ht="15">
      <c r="A36" s="48" t="s">
        <v>129</v>
      </c>
      <c r="B36" s="49"/>
      <c r="C36" s="73">
        <v>3264</v>
      </c>
      <c r="D36" s="73"/>
      <c r="E36" s="73">
        <v>1064</v>
      </c>
    </row>
    <row r="37" spans="1:5" ht="15">
      <c r="A37" s="48" t="s">
        <v>25</v>
      </c>
      <c r="B37" s="49"/>
      <c r="C37" s="73">
        <v>0</v>
      </c>
      <c r="D37" s="73"/>
      <c r="E37" s="73">
        <v>-54</v>
      </c>
    </row>
    <row r="38" spans="1:5" ht="15">
      <c r="A38" s="161" t="s">
        <v>157</v>
      </c>
      <c r="B38" s="49"/>
      <c r="C38" s="74">
        <f>SUM(C20:C37)</f>
        <v>-77454</v>
      </c>
      <c r="D38" s="49"/>
      <c r="E38" s="74">
        <f>SUM(E20:E37)</f>
        <v>-13032</v>
      </c>
    </row>
    <row r="39" spans="1:5" ht="6.75" customHeight="1">
      <c r="A39" s="48"/>
      <c r="B39" s="49"/>
      <c r="C39" s="60"/>
      <c r="D39" s="49"/>
      <c r="E39" s="60"/>
    </row>
    <row r="40" spans="1:5" ht="13.5" customHeight="1">
      <c r="A40" s="50" t="s">
        <v>14</v>
      </c>
      <c r="B40" s="49"/>
      <c r="C40" s="61"/>
      <c r="D40" s="49"/>
      <c r="E40" s="61"/>
    </row>
    <row r="41" spans="1:5" ht="15">
      <c r="A41" s="48" t="s">
        <v>154</v>
      </c>
      <c r="B41" s="49"/>
      <c r="C41" s="73">
        <v>24</v>
      </c>
      <c r="D41" s="165"/>
      <c r="E41" s="73">
        <v>33</v>
      </c>
    </row>
    <row r="42" spans="1:5" ht="15">
      <c r="A42" s="48" t="s">
        <v>85</v>
      </c>
      <c r="B42" s="49"/>
      <c r="C42" s="73">
        <v>-7207</v>
      </c>
      <c r="D42" s="165"/>
      <c r="E42" s="73">
        <v>-7413</v>
      </c>
    </row>
    <row r="43" spans="1:5" ht="15">
      <c r="A43" s="48" t="s">
        <v>110</v>
      </c>
      <c r="B43" s="49"/>
      <c r="C43" s="73">
        <v>34685</v>
      </c>
      <c r="D43" s="165"/>
      <c r="E43" s="73">
        <v>12588</v>
      </c>
    </row>
    <row r="44" spans="1:5" ht="15">
      <c r="A44" s="48" t="s">
        <v>28</v>
      </c>
      <c r="B44" s="49"/>
      <c r="C44" s="73">
        <v>-240</v>
      </c>
      <c r="D44" s="165"/>
      <c r="E44" s="73">
        <v>-365</v>
      </c>
    </row>
    <row r="45" spans="1:5" ht="15">
      <c r="A45" s="48" t="s">
        <v>137</v>
      </c>
      <c r="B45" s="49"/>
      <c r="C45" s="73">
        <v>0</v>
      </c>
      <c r="D45" s="165"/>
      <c r="E45" s="73">
        <v>11</v>
      </c>
    </row>
    <row r="46" spans="1:5" ht="15">
      <c r="A46" s="48" t="s">
        <v>101</v>
      </c>
      <c r="B46" s="49"/>
      <c r="C46" s="73">
        <v>-805</v>
      </c>
      <c r="D46" s="165"/>
      <c r="E46" s="73">
        <v>-861</v>
      </c>
    </row>
    <row r="47" spans="1:5" ht="15">
      <c r="A47" s="48" t="s">
        <v>49</v>
      </c>
      <c r="B47" s="49"/>
      <c r="C47" s="73">
        <v>-28</v>
      </c>
      <c r="D47" s="165"/>
      <c r="E47" s="73">
        <v>-20000</v>
      </c>
    </row>
    <row r="48" spans="1:5" ht="15">
      <c r="A48" s="48" t="s">
        <v>193</v>
      </c>
      <c r="B48" s="49"/>
      <c r="C48" s="73">
        <v>-1923</v>
      </c>
      <c r="D48" s="165"/>
      <c r="E48" s="73">
        <v>-71</v>
      </c>
    </row>
    <row r="49" spans="1:5" ht="15">
      <c r="A49" s="268" t="s">
        <v>199</v>
      </c>
      <c r="B49" s="49"/>
      <c r="C49" s="73">
        <v>126</v>
      </c>
      <c r="D49" s="165"/>
      <c r="E49" s="73">
        <v>0</v>
      </c>
    </row>
    <row r="50" spans="1:5" s="6" customFormat="1" ht="14.25">
      <c r="A50" s="267" t="s">
        <v>187</v>
      </c>
      <c r="B50" s="49"/>
      <c r="C50" s="74">
        <f>SUM(C41:C49)</f>
        <v>24632</v>
      </c>
      <c r="D50" s="49"/>
      <c r="E50" s="74">
        <f>SUM(E41:E49)</f>
        <v>-16078</v>
      </c>
    </row>
    <row r="51" spans="1:5" ht="6.75" customHeight="1">
      <c r="A51" s="268"/>
      <c r="B51" s="49"/>
      <c r="C51" s="73"/>
      <c r="D51" s="49"/>
      <c r="E51" s="73"/>
    </row>
    <row r="52" spans="1:5" s="19" customFormat="1" ht="16.5" customHeight="1">
      <c r="A52" s="269" t="s">
        <v>188</v>
      </c>
      <c r="B52" s="49"/>
      <c r="C52" s="270">
        <f>C17+C38+C50</f>
        <v>-5012</v>
      </c>
      <c r="D52" s="49"/>
      <c r="E52" s="270">
        <f>E17+E38+E50</f>
        <v>3207</v>
      </c>
    </row>
    <row r="53" spans="1:5" s="19" customFormat="1" ht="5.25" customHeight="1">
      <c r="A53" s="268"/>
      <c r="B53" s="49"/>
      <c r="C53" s="60"/>
      <c r="D53" s="49"/>
      <c r="E53" s="60"/>
    </row>
    <row r="54" spans="1:5" s="20" customFormat="1" ht="15">
      <c r="A54" s="268" t="s">
        <v>71</v>
      </c>
      <c r="B54" s="49"/>
      <c r="C54" s="73">
        <f>E56</f>
        <v>8971</v>
      </c>
      <c r="D54" s="49"/>
      <c r="E54" s="73">
        <v>5764</v>
      </c>
    </row>
    <row r="55" spans="1:5" s="20" customFormat="1" ht="6" customHeight="1">
      <c r="A55" s="268"/>
      <c r="B55" s="49"/>
      <c r="C55" s="271"/>
      <c r="D55" s="49"/>
      <c r="E55" s="271"/>
    </row>
    <row r="56" spans="1:5" ht="15.75" thickBot="1">
      <c r="A56" s="267" t="s">
        <v>138</v>
      </c>
      <c r="B56" s="49">
        <v>27</v>
      </c>
      <c r="C56" s="272">
        <f>C54+C52</f>
        <v>3959</v>
      </c>
      <c r="D56" s="49"/>
      <c r="E56" s="272">
        <f>E54+E52</f>
        <v>8971</v>
      </c>
    </row>
    <row r="57" spans="2:5" ht="12" customHeight="1" thickTop="1">
      <c r="B57" s="46"/>
      <c r="C57" s="138"/>
      <c r="D57" s="46"/>
      <c r="E57" s="138"/>
    </row>
    <row r="58" spans="1:4" ht="15">
      <c r="A58" s="76" t="str">
        <f>SFP!A61</f>
        <v>Приложенията на страници от 5 до 140 са неразделна част от индивидуалния финансов отчет.</v>
      </c>
      <c r="B58" s="46"/>
      <c r="C58" s="120"/>
      <c r="D58" s="46"/>
    </row>
    <row r="59" spans="1:4" ht="15">
      <c r="A59" s="76"/>
      <c r="B59" s="46"/>
      <c r="C59" s="120"/>
      <c r="D59" s="46"/>
    </row>
    <row r="60" spans="1:4" ht="15">
      <c r="A60" s="76" t="str">
        <f>SFP!A63</f>
        <v>Изпълнителен директор: </v>
      </c>
      <c r="B60" s="46"/>
      <c r="C60" s="120"/>
      <c r="D60" s="46"/>
    </row>
    <row r="61" spans="1:4" ht="15">
      <c r="A61" s="211" t="s">
        <v>70</v>
      </c>
      <c r="B61" s="46"/>
      <c r="C61" s="46"/>
      <c r="D61" s="46"/>
    </row>
    <row r="62" spans="1:4" ht="15">
      <c r="A62" s="212" t="str">
        <f>'[1]SFP'!A62</f>
        <v>Финансов директор: </v>
      </c>
      <c r="B62" s="46"/>
      <c r="C62" s="46"/>
      <c r="D62" s="46"/>
    </row>
    <row r="63" spans="1:4" ht="15">
      <c r="A63" s="211" t="str">
        <f>'[1]SFP'!A63</f>
        <v>Борис Борисов</v>
      </c>
      <c r="B63" s="46"/>
      <c r="C63" s="46"/>
      <c r="D63" s="46"/>
    </row>
    <row r="64" spans="1:4" ht="15">
      <c r="A64" s="213" t="s">
        <v>84</v>
      </c>
      <c r="B64" s="46"/>
      <c r="C64" s="46"/>
      <c r="D64" s="46"/>
    </row>
    <row r="65" spans="1:4" ht="15">
      <c r="A65" s="211" t="str">
        <f>'[2]IS'!A50</f>
        <v>Йорданка Петкова</v>
      </c>
      <c r="B65" s="46"/>
      <c r="C65" s="46"/>
      <c r="D65" s="46"/>
    </row>
    <row r="66" ht="15">
      <c r="A66" s="273"/>
    </row>
    <row r="67" ht="15">
      <c r="A67" s="166" t="s">
        <v>178</v>
      </c>
    </row>
    <row r="68" ht="15">
      <c r="A68" s="93"/>
    </row>
    <row r="69" ht="15">
      <c r="A69" s="92"/>
    </row>
    <row r="70" ht="15">
      <c r="A70" s="94"/>
    </row>
    <row r="71" ht="15">
      <c r="A71" s="94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view="pageBreakPreview" zoomScaleSheetLayoutView="100" zoomScalePageLayoutView="0" workbookViewId="0" topLeftCell="A1">
      <selection activeCell="L38" sqref="L38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6.281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1.851562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92" t="s">
        <v>198</v>
      </c>
      <c r="B2" s="292"/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8" ht="18" customHeight="1">
      <c r="A3" s="82" t="str">
        <f>SCF!A3</f>
        <v>за годината, завършваща на 31 декември 2019 година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110" customFormat="1" ht="15" customHeight="1">
      <c r="A4" s="290"/>
      <c r="B4" s="290" t="s">
        <v>5</v>
      </c>
      <c r="C4" s="167"/>
      <c r="D4" s="290" t="s">
        <v>26</v>
      </c>
      <c r="E4" s="167"/>
      <c r="F4" s="290" t="s">
        <v>101</v>
      </c>
      <c r="G4" s="167"/>
      <c r="H4" s="290" t="s">
        <v>17</v>
      </c>
      <c r="I4" s="168"/>
      <c r="J4" s="290" t="s">
        <v>78</v>
      </c>
      <c r="K4" s="167"/>
      <c r="L4" s="291" t="s">
        <v>153</v>
      </c>
      <c r="M4" s="168"/>
      <c r="N4" s="290" t="s">
        <v>99</v>
      </c>
      <c r="O4" s="168"/>
      <c r="P4" s="290" t="s">
        <v>98</v>
      </c>
      <c r="Q4" s="168"/>
      <c r="R4" s="290" t="s">
        <v>31</v>
      </c>
    </row>
    <row r="5" spans="1:18" s="111" customFormat="1" ht="24" customHeight="1">
      <c r="A5" s="290"/>
      <c r="B5" s="290"/>
      <c r="C5" s="167"/>
      <c r="D5" s="290"/>
      <c r="E5" s="169"/>
      <c r="F5" s="290"/>
      <c r="G5" s="169"/>
      <c r="H5" s="290"/>
      <c r="I5" s="170"/>
      <c r="J5" s="290"/>
      <c r="K5" s="169"/>
      <c r="L5" s="291"/>
      <c r="M5" s="170"/>
      <c r="N5" s="290"/>
      <c r="O5" s="170"/>
      <c r="P5" s="290"/>
      <c r="Q5" s="170"/>
      <c r="R5" s="290"/>
    </row>
    <row r="6" spans="1:18" s="22" customFormat="1" ht="15">
      <c r="A6" s="171"/>
      <c r="B6" s="172"/>
      <c r="C6" s="172"/>
      <c r="D6" s="173" t="s">
        <v>9</v>
      </c>
      <c r="E6" s="173"/>
      <c r="F6" s="173" t="s">
        <v>9</v>
      </c>
      <c r="G6" s="173"/>
      <c r="H6" s="173" t="s">
        <v>9</v>
      </c>
      <c r="I6" s="173"/>
      <c r="J6" s="173" t="s">
        <v>9</v>
      </c>
      <c r="K6" s="173"/>
      <c r="L6" s="173" t="s">
        <v>9</v>
      </c>
      <c r="M6" s="173"/>
      <c r="N6" s="173" t="s">
        <v>9</v>
      </c>
      <c r="O6" s="173"/>
      <c r="P6" s="173" t="s">
        <v>9</v>
      </c>
      <c r="Q6" s="173"/>
      <c r="R6" s="173" t="s">
        <v>9</v>
      </c>
    </row>
    <row r="7" spans="1:18" s="21" customFormat="1" ht="5.25" customHeight="1">
      <c r="A7" s="174"/>
      <c r="B7" s="174"/>
      <c r="C7" s="174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221"/>
      <c r="Q7" s="173"/>
      <c r="R7" s="173"/>
    </row>
    <row r="8" spans="1:20" s="14" customFormat="1" ht="15.75" customHeight="1">
      <c r="A8" s="174"/>
      <c r="B8" s="174"/>
      <c r="C8" s="174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221"/>
      <c r="Q8" s="173"/>
      <c r="R8" s="173"/>
      <c r="S8" s="115"/>
      <c r="T8" s="115"/>
    </row>
    <row r="9" spans="1:20" s="14" customFormat="1" ht="13.5" customHeight="1">
      <c r="A9" s="175" t="s">
        <v>179</v>
      </c>
      <c r="B9" s="176"/>
      <c r="C9" s="176"/>
      <c r="D9" s="222">
        <v>134798</v>
      </c>
      <c r="E9" s="159"/>
      <c r="F9" s="222">
        <v>-33834</v>
      </c>
      <c r="G9" s="190"/>
      <c r="H9" s="222">
        <v>51666</v>
      </c>
      <c r="I9" s="191"/>
      <c r="J9" s="222">
        <v>23839</v>
      </c>
      <c r="K9" s="191"/>
      <c r="L9" s="222">
        <v>4089</v>
      </c>
      <c r="M9" s="191"/>
      <c r="N9" s="222">
        <v>251089</v>
      </c>
      <c r="O9" s="191"/>
      <c r="P9" s="222">
        <v>46147</v>
      </c>
      <c r="Q9" s="191"/>
      <c r="R9" s="223">
        <f>SUM(D9:Q9)</f>
        <v>477794</v>
      </c>
      <c r="S9" s="115"/>
      <c r="T9" s="115"/>
    </row>
    <row r="10" spans="1:20" s="14" customFormat="1" ht="13.5" customHeight="1">
      <c r="A10" s="177" t="s">
        <v>132</v>
      </c>
      <c r="B10" s="210">
        <v>2.3</v>
      </c>
      <c r="C10" s="210"/>
      <c r="D10" s="224">
        <v>0</v>
      </c>
      <c r="E10" s="224"/>
      <c r="F10" s="224">
        <v>0</v>
      </c>
      <c r="G10" s="224"/>
      <c r="H10" s="224">
        <v>0</v>
      </c>
      <c r="I10" s="225"/>
      <c r="J10" s="224">
        <v>0</v>
      </c>
      <c r="K10" s="225"/>
      <c r="L10" s="224">
        <v>0</v>
      </c>
      <c r="M10" s="225"/>
      <c r="N10" s="224">
        <v>0</v>
      </c>
      <c r="O10" s="225"/>
      <c r="P10" s="224">
        <v>-316</v>
      </c>
      <c r="Q10" s="225"/>
      <c r="R10" s="224">
        <f>SUM(D10:Q10)</f>
        <v>-316</v>
      </c>
      <c r="S10" s="115"/>
      <c r="T10" s="115"/>
    </row>
    <row r="11" spans="1:18" s="14" customFormat="1" ht="15">
      <c r="A11" s="177" t="s">
        <v>158</v>
      </c>
      <c r="B11" s="210">
        <v>2.4</v>
      </c>
      <c r="C11" s="210"/>
      <c r="D11" s="224">
        <v>0</v>
      </c>
      <c r="E11" s="224"/>
      <c r="F11" s="224">
        <v>0</v>
      </c>
      <c r="G11" s="224"/>
      <c r="H11" s="224">
        <v>0</v>
      </c>
      <c r="I11" s="225"/>
      <c r="J11" s="224">
        <v>0</v>
      </c>
      <c r="K11" s="225"/>
      <c r="L11" s="224">
        <v>0</v>
      </c>
      <c r="M11" s="225"/>
      <c r="N11" s="224">
        <v>0</v>
      </c>
      <c r="O11" s="225"/>
      <c r="P11" s="224">
        <v>-1309</v>
      </c>
      <c r="Q11" s="225"/>
      <c r="R11" s="224">
        <f>SUM(D11:Q11)</f>
        <v>-1309</v>
      </c>
    </row>
    <row r="12" spans="1:18" s="14" customFormat="1" ht="15.75" customHeight="1" thickBot="1">
      <c r="A12" s="175" t="s">
        <v>155</v>
      </c>
      <c r="B12" s="176"/>
      <c r="C12" s="176"/>
      <c r="D12" s="226">
        <f>SUM(D9:D11)</f>
        <v>134798</v>
      </c>
      <c r="E12" s="227"/>
      <c r="F12" s="226">
        <f>SUM(F9:F11)</f>
        <v>-33834</v>
      </c>
      <c r="G12" s="227"/>
      <c r="H12" s="226">
        <f>SUM(H9:H11)</f>
        <v>51666</v>
      </c>
      <c r="I12" s="228"/>
      <c r="J12" s="226">
        <f>SUM(J9:J11)</f>
        <v>23839</v>
      </c>
      <c r="K12" s="228"/>
      <c r="L12" s="226">
        <f>SUM(L9:L11)</f>
        <v>4089</v>
      </c>
      <c r="M12" s="228"/>
      <c r="N12" s="226">
        <f>SUM(N9:N11)</f>
        <v>251089</v>
      </c>
      <c r="O12" s="228"/>
      <c r="P12" s="226">
        <f>SUM(P9:P11)</f>
        <v>44522</v>
      </c>
      <c r="Q12" s="229"/>
      <c r="R12" s="226">
        <f>SUM(R9:R11)</f>
        <v>476169</v>
      </c>
    </row>
    <row r="13" spans="1:18" s="14" customFormat="1" ht="11.25" customHeight="1" thickTop="1">
      <c r="A13" s="220" t="s">
        <v>143</v>
      </c>
      <c r="B13" s="220"/>
      <c r="C13" s="220"/>
      <c r="D13" s="159"/>
      <c r="E13" s="159"/>
      <c r="F13" s="159"/>
      <c r="G13" s="159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9"/>
    </row>
    <row r="14" spans="1:18" s="14" customFormat="1" ht="12.75" customHeight="1">
      <c r="A14" s="177" t="s">
        <v>132</v>
      </c>
      <c r="B14" s="176"/>
      <c r="C14" s="176"/>
      <c r="D14" s="230">
        <v>0</v>
      </c>
      <c r="E14" s="159"/>
      <c r="F14" s="231">
        <v>265</v>
      </c>
      <c r="G14" s="159"/>
      <c r="H14" s="232">
        <v>0</v>
      </c>
      <c r="I14" s="174"/>
      <c r="J14" s="233">
        <v>1744</v>
      </c>
      <c r="K14" s="174"/>
      <c r="L14" s="233">
        <v>20</v>
      </c>
      <c r="M14" s="174"/>
      <c r="N14" s="232">
        <v>0</v>
      </c>
      <c r="O14" s="174"/>
      <c r="P14" s="180">
        <f>-D14-H14-J14-F14-L14</f>
        <v>-2029</v>
      </c>
      <c r="Q14" s="174"/>
      <c r="R14" s="234">
        <f>SUM(D14:Q14)</f>
        <v>0</v>
      </c>
    </row>
    <row r="15" spans="1:18" s="14" customFormat="1" ht="12" customHeight="1">
      <c r="A15" s="177" t="s">
        <v>139</v>
      </c>
      <c r="B15" s="176"/>
      <c r="C15" s="176"/>
      <c r="D15" s="235">
        <v>0</v>
      </c>
      <c r="E15" s="159"/>
      <c r="F15" s="236">
        <f>F17+F18+F16</f>
        <v>232</v>
      </c>
      <c r="G15" s="159"/>
      <c r="H15" s="235">
        <v>0</v>
      </c>
      <c r="I15" s="174"/>
      <c r="J15" s="235">
        <v>0</v>
      </c>
      <c r="K15" s="174"/>
      <c r="L15" s="235">
        <v>0</v>
      </c>
      <c r="M15" s="174"/>
      <c r="N15" s="235">
        <v>0</v>
      </c>
      <c r="O15" s="174"/>
      <c r="P15" s="236">
        <f>P17+P18+P16</f>
        <v>141</v>
      </c>
      <c r="Q15" s="174"/>
      <c r="R15" s="235">
        <f>SUM(F15:Q15)</f>
        <v>373</v>
      </c>
    </row>
    <row r="16" spans="1:18" s="14" customFormat="1" ht="13.5" customHeight="1">
      <c r="A16" s="207" t="s">
        <v>164</v>
      </c>
      <c r="B16" s="176"/>
      <c r="C16" s="176"/>
      <c r="D16" s="237">
        <v>0</v>
      </c>
      <c r="E16" s="159"/>
      <c r="F16" s="238">
        <v>1082</v>
      </c>
      <c r="G16" s="159"/>
      <c r="H16" s="237">
        <v>0</v>
      </c>
      <c r="I16" s="174"/>
      <c r="J16" s="237">
        <v>0</v>
      </c>
      <c r="K16" s="174"/>
      <c r="L16" s="237">
        <v>0</v>
      </c>
      <c r="M16" s="174"/>
      <c r="N16" s="237">
        <v>0</v>
      </c>
      <c r="O16" s="174"/>
      <c r="P16" s="238">
        <v>142</v>
      </c>
      <c r="Q16" s="174"/>
      <c r="R16" s="234">
        <f>SUM(F16:Q16)</f>
        <v>1224</v>
      </c>
    </row>
    <row r="17" spans="1:18" s="14" customFormat="1" ht="12.75" customHeight="1">
      <c r="A17" s="207" t="s">
        <v>159</v>
      </c>
      <c r="B17" s="176"/>
      <c r="C17" s="176"/>
      <c r="D17" s="230">
        <v>0</v>
      </c>
      <c r="E17" s="159"/>
      <c r="F17" s="234">
        <v>-861</v>
      </c>
      <c r="G17" s="181"/>
      <c r="H17" s="232">
        <v>0</v>
      </c>
      <c r="I17" s="174"/>
      <c r="J17" s="232">
        <v>0</v>
      </c>
      <c r="K17" s="174"/>
      <c r="L17" s="232">
        <v>0</v>
      </c>
      <c r="M17" s="174"/>
      <c r="N17" s="232">
        <v>0</v>
      </c>
      <c r="O17" s="182"/>
      <c r="P17" s="183">
        <v>0</v>
      </c>
      <c r="Q17" s="182"/>
      <c r="R17" s="234">
        <f>SUM(F17:Q17)</f>
        <v>-861</v>
      </c>
    </row>
    <row r="18" spans="1:18" s="14" customFormat="1" ht="12.75" customHeight="1">
      <c r="A18" s="208" t="s">
        <v>160</v>
      </c>
      <c r="B18" s="184"/>
      <c r="C18" s="184"/>
      <c r="D18" s="237">
        <v>0</v>
      </c>
      <c r="E18" s="237"/>
      <c r="F18" s="234">
        <v>11</v>
      </c>
      <c r="G18" s="234"/>
      <c r="H18" s="234">
        <v>0</v>
      </c>
      <c r="I18" s="234"/>
      <c r="J18" s="234">
        <v>0</v>
      </c>
      <c r="K18" s="234"/>
      <c r="L18" s="234">
        <v>0</v>
      </c>
      <c r="M18" s="234"/>
      <c r="N18" s="234">
        <v>0</v>
      </c>
      <c r="O18" s="234"/>
      <c r="P18" s="234">
        <v>-1</v>
      </c>
      <c r="Q18" s="234"/>
      <c r="R18" s="234">
        <f>SUM(D18:Q18)</f>
        <v>10</v>
      </c>
    </row>
    <row r="19" spans="1:19" s="14" customFormat="1" ht="14.25" customHeight="1">
      <c r="A19" s="177" t="s">
        <v>63</v>
      </c>
      <c r="B19" s="184"/>
      <c r="C19" s="184"/>
      <c r="D19" s="235">
        <v>0</v>
      </c>
      <c r="E19" s="237"/>
      <c r="F19" s="235">
        <v>0</v>
      </c>
      <c r="G19" s="237"/>
      <c r="H19" s="235">
        <f>H20</f>
        <v>4301</v>
      </c>
      <c r="I19" s="237"/>
      <c r="J19" s="235">
        <v>0</v>
      </c>
      <c r="K19" s="237"/>
      <c r="L19" s="235">
        <v>0</v>
      </c>
      <c r="M19" s="237"/>
      <c r="N19" s="235">
        <f>N20</f>
        <v>24888</v>
      </c>
      <c r="O19" s="237"/>
      <c r="P19" s="235">
        <f>P20+P21+P22</f>
        <v>-49295</v>
      </c>
      <c r="Q19" s="237"/>
      <c r="R19" s="235">
        <f>H19+N19+P19</f>
        <v>-20106</v>
      </c>
      <c r="S19" s="115"/>
    </row>
    <row r="20" spans="1:19" s="14" customFormat="1" ht="15.75" customHeight="1">
      <c r="A20" s="206" t="s">
        <v>161</v>
      </c>
      <c r="B20" s="185"/>
      <c r="C20" s="185"/>
      <c r="D20" s="234">
        <v>0</v>
      </c>
      <c r="E20" s="234"/>
      <c r="F20" s="234">
        <v>0</v>
      </c>
      <c r="G20" s="234"/>
      <c r="H20" s="234">
        <v>4301</v>
      </c>
      <c r="I20" s="234"/>
      <c r="J20" s="234">
        <v>0</v>
      </c>
      <c r="K20" s="234"/>
      <c r="L20" s="234">
        <v>0</v>
      </c>
      <c r="M20" s="234"/>
      <c r="N20" s="234">
        <v>24888</v>
      </c>
      <c r="O20" s="234"/>
      <c r="P20" s="234">
        <f>-H20-N20</f>
        <v>-29189</v>
      </c>
      <c r="Q20" s="234"/>
      <c r="R20" s="237">
        <f>SUM(D20:Q20)</f>
        <v>0</v>
      </c>
      <c r="S20" s="115"/>
    </row>
    <row r="21" spans="1:19" s="14" customFormat="1" ht="15" customHeight="1">
      <c r="A21" s="206" t="s">
        <v>165</v>
      </c>
      <c r="B21" s="185"/>
      <c r="C21" s="185"/>
      <c r="D21" s="234">
        <v>0</v>
      </c>
      <c r="E21" s="234"/>
      <c r="F21" s="234">
        <v>0</v>
      </c>
      <c r="G21" s="234"/>
      <c r="H21" s="234">
        <v>0</v>
      </c>
      <c r="I21" s="234"/>
      <c r="J21" s="234">
        <v>0</v>
      </c>
      <c r="K21" s="234"/>
      <c r="L21" s="234">
        <v>0</v>
      </c>
      <c r="M21" s="234"/>
      <c r="N21" s="234">
        <v>0</v>
      </c>
      <c r="O21" s="234"/>
      <c r="P21" s="234">
        <v>-13822</v>
      </c>
      <c r="Q21" s="234"/>
      <c r="R21" s="234">
        <f>P21</f>
        <v>-13822</v>
      </c>
      <c r="S21" s="115"/>
    </row>
    <row r="22" spans="1:18" s="14" customFormat="1" ht="13.5" customHeight="1">
      <c r="A22" s="206" t="s">
        <v>170</v>
      </c>
      <c r="B22" s="185"/>
      <c r="C22" s="185"/>
      <c r="D22" s="234">
        <v>0</v>
      </c>
      <c r="E22" s="234"/>
      <c r="F22" s="234">
        <v>0</v>
      </c>
      <c r="G22" s="234"/>
      <c r="H22" s="234">
        <v>0</v>
      </c>
      <c r="I22" s="234"/>
      <c r="J22" s="234">
        <v>0</v>
      </c>
      <c r="K22" s="234"/>
      <c r="L22" s="234">
        <v>0</v>
      </c>
      <c r="M22" s="234"/>
      <c r="N22" s="234">
        <v>0</v>
      </c>
      <c r="O22" s="234"/>
      <c r="P22" s="234">
        <v>-6284</v>
      </c>
      <c r="Q22" s="234"/>
      <c r="R22" s="234">
        <f>P22</f>
        <v>-6284</v>
      </c>
    </row>
    <row r="23" spans="1:18" s="14" customFormat="1" ht="15" customHeight="1">
      <c r="A23" s="186" t="s">
        <v>112</v>
      </c>
      <c r="B23" s="187"/>
      <c r="C23" s="187"/>
      <c r="D23" s="239">
        <f>+D24+D25</f>
        <v>0</v>
      </c>
      <c r="E23" s="240"/>
      <c r="F23" s="239">
        <f>+F24+F25</f>
        <v>0</v>
      </c>
      <c r="G23" s="240"/>
      <c r="H23" s="239">
        <f>+H24+H25</f>
        <v>0</v>
      </c>
      <c r="I23" s="240"/>
      <c r="J23" s="239">
        <f>J25</f>
        <v>307</v>
      </c>
      <c r="K23" s="240"/>
      <c r="L23" s="239">
        <f>+L24+L25</f>
        <v>-792</v>
      </c>
      <c r="M23" s="240"/>
      <c r="N23" s="239">
        <v>0</v>
      </c>
      <c r="O23" s="240"/>
      <c r="P23" s="239">
        <f>+P24+P25</f>
        <v>33268</v>
      </c>
      <c r="Q23" s="240"/>
      <c r="R23" s="239">
        <f>SUM(D23:Q23)</f>
        <v>32783</v>
      </c>
    </row>
    <row r="24" spans="1:18" s="14" customFormat="1" ht="16.5" customHeight="1">
      <c r="A24" s="209" t="s">
        <v>162</v>
      </c>
      <c r="B24" s="184"/>
      <c r="C24" s="184"/>
      <c r="D24" s="234">
        <v>0</v>
      </c>
      <c r="E24" s="234"/>
      <c r="F24" s="234">
        <v>0</v>
      </c>
      <c r="G24" s="234"/>
      <c r="H24" s="234">
        <v>0</v>
      </c>
      <c r="I24" s="234"/>
      <c r="J24" s="234">
        <v>0</v>
      </c>
      <c r="K24" s="234"/>
      <c r="L24" s="234">
        <v>0</v>
      </c>
      <c r="M24" s="234"/>
      <c r="N24" s="234">
        <v>0</v>
      </c>
      <c r="O24" s="234"/>
      <c r="P24" s="234">
        <v>33298</v>
      </c>
      <c r="Q24" s="234"/>
      <c r="R24" s="234">
        <f>SUM(D24:Q24)</f>
        <v>33298</v>
      </c>
    </row>
    <row r="25" spans="1:18" s="14" customFormat="1" ht="13.5" customHeight="1">
      <c r="A25" s="209" t="s">
        <v>163</v>
      </c>
      <c r="B25" s="184"/>
      <c r="C25" s="184"/>
      <c r="D25" s="234">
        <v>0</v>
      </c>
      <c r="E25" s="234"/>
      <c r="F25" s="234">
        <v>0</v>
      </c>
      <c r="G25" s="234"/>
      <c r="H25" s="234">
        <v>0</v>
      </c>
      <c r="I25" s="234"/>
      <c r="J25" s="234">
        <v>307</v>
      </c>
      <c r="K25" s="234"/>
      <c r="L25" s="234">
        <f>-99-656-37</f>
        <v>-792</v>
      </c>
      <c r="M25" s="241"/>
      <c r="N25" s="234">
        <v>0</v>
      </c>
      <c r="O25" s="241"/>
      <c r="P25" s="234">
        <v>-30</v>
      </c>
      <c r="Q25" s="241"/>
      <c r="R25" s="234">
        <f>SUM(D25:Q25)</f>
        <v>-515</v>
      </c>
    </row>
    <row r="26" spans="1:18" s="14" customFormat="1" ht="16.5" customHeight="1">
      <c r="A26" s="188" t="s">
        <v>103</v>
      </c>
      <c r="B26" s="184"/>
      <c r="C26" s="184"/>
      <c r="D26" s="237">
        <v>0</v>
      </c>
      <c r="E26" s="237"/>
      <c r="F26" s="237">
        <v>0</v>
      </c>
      <c r="G26" s="237"/>
      <c r="H26" s="237">
        <v>0</v>
      </c>
      <c r="I26" s="237"/>
      <c r="J26" s="237">
        <v>-3457</v>
      </c>
      <c r="K26" s="237"/>
      <c r="L26" s="237">
        <f>-1077+656+37</f>
        <v>-384</v>
      </c>
      <c r="M26" s="229"/>
      <c r="N26" s="237">
        <v>0</v>
      </c>
      <c r="O26" s="237"/>
      <c r="P26" s="237">
        <f>-J26-L26</f>
        <v>3841</v>
      </c>
      <c r="Q26" s="237"/>
      <c r="R26" s="237">
        <f>J26+P26+L26</f>
        <v>0</v>
      </c>
    </row>
    <row r="27" spans="1:18" s="14" customFormat="1" ht="18" customHeight="1" thickBot="1">
      <c r="A27" s="175" t="s">
        <v>144</v>
      </c>
      <c r="B27" s="176">
        <v>28</v>
      </c>
      <c r="C27" s="176"/>
      <c r="D27" s="189">
        <f>D12+D14</f>
        <v>134798</v>
      </c>
      <c r="E27" s="159"/>
      <c r="F27" s="189">
        <f>F12+F14+F15</f>
        <v>-33337</v>
      </c>
      <c r="G27" s="190"/>
      <c r="H27" s="189">
        <f>H12+H19+H14</f>
        <v>55967</v>
      </c>
      <c r="I27" s="191"/>
      <c r="J27" s="189">
        <f>J12+J14+J26+J23</f>
        <v>22433</v>
      </c>
      <c r="K27" s="191"/>
      <c r="L27" s="189">
        <f>L12+L23+L14+L26</f>
        <v>2933</v>
      </c>
      <c r="M27" s="191"/>
      <c r="N27" s="189">
        <f>N12+N19</f>
        <v>275977</v>
      </c>
      <c r="O27" s="191"/>
      <c r="P27" s="189">
        <f>P12+P15+P19+P23+P14+P26</f>
        <v>30448</v>
      </c>
      <c r="Q27" s="191" t="s">
        <v>156</v>
      </c>
      <c r="R27" s="189">
        <f>R12+R19+R23+R26+R14+R15</f>
        <v>489219</v>
      </c>
    </row>
    <row r="28" spans="1:19" s="14" customFormat="1" ht="14.25" customHeight="1" thickTop="1">
      <c r="A28" s="220" t="s">
        <v>180</v>
      </c>
      <c r="B28" s="220"/>
      <c r="C28" s="220"/>
      <c r="D28" s="159"/>
      <c r="E28" s="159"/>
      <c r="F28" s="159"/>
      <c r="G28" s="159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9"/>
      <c r="S28" s="115"/>
    </row>
    <row r="29" spans="1:19" s="14" customFormat="1" ht="14.25" customHeight="1">
      <c r="A29" s="177" t="s">
        <v>139</v>
      </c>
      <c r="B29" s="184"/>
      <c r="C29" s="184"/>
      <c r="D29" s="242">
        <f>D30+D31</f>
        <v>0</v>
      </c>
      <c r="E29" s="159"/>
      <c r="F29" s="243">
        <f>F30+F31</f>
        <v>-805</v>
      </c>
      <c r="G29" s="159"/>
      <c r="H29" s="242">
        <f>H30+H31</f>
        <v>0</v>
      </c>
      <c r="I29" s="174"/>
      <c r="J29" s="242">
        <f>J30+J31</f>
        <v>0</v>
      </c>
      <c r="K29" s="174"/>
      <c r="L29" s="242">
        <f>L30+L31</f>
        <v>0</v>
      </c>
      <c r="M29" s="174"/>
      <c r="N29" s="242">
        <f>N30+N31</f>
        <v>0</v>
      </c>
      <c r="O29" s="174"/>
      <c r="P29" s="242">
        <f>P30+P31</f>
        <v>0</v>
      </c>
      <c r="Q29" s="174"/>
      <c r="R29" s="236">
        <f>R30+R31</f>
        <v>-805</v>
      </c>
      <c r="S29" s="115"/>
    </row>
    <row r="30" spans="1:19" s="14" customFormat="1" ht="14.25" customHeight="1">
      <c r="A30" s="207" t="s">
        <v>159</v>
      </c>
      <c r="B30" s="184"/>
      <c r="C30" s="184"/>
      <c r="D30" s="230">
        <v>0</v>
      </c>
      <c r="E30" s="159"/>
      <c r="F30" s="234">
        <v>-805</v>
      </c>
      <c r="G30" s="159"/>
      <c r="H30" s="230">
        <v>0</v>
      </c>
      <c r="I30" s="174"/>
      <c r="J30" s="230">
        <v>0</v>
      </c>
      <c r="K30" s="174"/>
      <c r="L30" s="230">
        <v>0</v>
      </c>
      <c r="M30" s="174"/>
      <c r="N30" s="230">
        <v>0</v>
      </c>
      <c r="O30" s="174"/>
      <c r="P30" s="230">
        <v>0</v>
      </c>
      <c r="Q30" s="174"/>
      <c r="R30" s="244">
        <f>SUM(D30:Q30)</f>
        <v>-805</v>
      </c>
      <c r="S30" s="115"/>
    </row>
    <row r="31" spans="1:18" s="14" customFormat="1" ht="14.25" customHeight="1">
      <c r="A31" s="208" t="s">
        <v>160</v>
      </c>
      <c r="B31" s="184"/>
      <c r="C31" s="184"/>
      <c r="D31" s="237">
        <v>0</v>
      </c>
      <c r="E31" s="159"/>
      <c r="F31" s="159"/>
      <c r="G31" s="159"/>
      <c r="H31" s="237">
        <v>0</v>
      </c>
      <c r="I31" s="174"/>
      <c r="J31" s="237">
        <v>0</v>
      </c>
      <c r="K31" s="174"/>
      <c r="L31" s="237">
        <v>0</v>
      </c>
      <c r="M31" s="174"/>
      <c r="N31" s="237">
        <v>0</v>
      </c>
      <c r="O31" s="174"/>
      <c r="P31" s="237">
        <v>0</v>
      </c>
      <c r="Q31" s="174"/>
      <c r="R31" s="237">
        <v>0</v>
      </c>
    </row>
    <row r="32" spans="1:18" s="14" customFormat="1" ht="14.25" customHeight="1">
      <c r="A32" s="177" t="s">
        <v>63</v>
      </c>
      <c r="B32" s="184"/>
      <c r="C32" s="184"/>
      <c r="D32" s="235"/>
      <c r="E32" s="159"/>
      <c r="F32" s="245"/>
      <c r="G32" s="159"/>
      <c r="H32" s="235">
        <f>H33</f>
        <v>3330</v>
      </c>
      <c r="I32" s="174"/>
      <c r="J32" s="235"/>
      <c r="K32" s="174"/>
      <c r="L32" s="235"/>
      <c r="M32" s="174"/>
      <c r="N32" s="235">
        <f>N33</f>
        <v>22362</v>
      </c>
      <c r="O32" s="174"/>
      <c r="P32" s="235">
        <f>P33+P34</f>
        <v>-31976</v>
      </c>
      <c r="Q32" s="174"/>
      <c r="R32" s="235">
        <f>H32+N32+P32</f>
        <v>-6284</v>
      </c>
    </row>
    <row r="33" spans="1:18" s="14" customFormat="1" ht="13.5" customHeight="1">
      <c r="A33" s="206" t="s">
        <v>161</v>
      </c>
      <c r="B33" s="184"/>
      <c r="C33" s="184"/>
      <c r="D33" s="237">
        <v>0</v>
      </c>
      <c r="E33" s="159"/>
      <c r="F33" s="246">
        <v>0</v>
      </c>
      <c r="G33" s="159"/>
      <c r="H33" s="247">
        <v>3330</v>
      </c>
      <c r="I33" s="248"/>
      <c r="J33" s="247">
        <v>0</v>
      </c>
      <c r="K33" s="248"/>
      <c r="L33" s="247">
        <v>0</v>
      </c>
      <c r="M33" s="248"/>
      <c r="N33" s="247">
        <v>22362</v>
      </c>
      <c r="O33" s="248"/>
      <c r="P33" s="247">
        <f>-H33-N33</f>
        <v>-25692</v>
      </c>
      <c r="Q33" s="248"/>
      <c r="R33" s="247">
        <f>SUM(H33:Q33)</f>
        <v>0</v>
      </c>
    </row>
    <row r="34" spans="1:18" s="14" customFormat="1" ht="13.5" customHeight="1">
      <c r="A34" s="206" t="s">
        <v>194</v>
      </c>
      <c r="B34" s="184"/>
      <c r="C34" s="184"/>
      <c r="D34" s="237"/>
      <c r="E34" s="159"/>
      <c r="F34" s="246"/>
      <c r="G34" s="159"/>
      <c r="H34" s="247"/>
      <c r="I34" s="248"/>
      <c r="J34" s="247"/>
      <c r="K34" s="248"/>
      <c r="L34" s="247"/>
      <c r="M34" s="248"/>
      <c r="N34" s="247"/>
      <c r="O34" s="248"/>
      <c r="P34" s="247">
        <v>-6284</v>
      </c>
      <c r="Q34" s="248"/>
      <c r="R34" s="247"/>
    </row>
    <row r="35" spans="1:18" s="14" customFormat="1" ht="15" customHeight="1">
      <c r="A35" s="186" t="s">
        <v>112</v>
      </c>
      <c r="B35" s="184"/>
      <c r="C35" s="184"/>
      <c r="D35" s="249">
        <f>D36+D37</f>
        <v>0</v>
      </c>
      <c r="E35" s="250"/>
      <c r="F35" s="249">
        <f>F36+F37</f>
        <v>0</v>
      </c>
      <c r="G35" s="250"/>
      <c r="H35" s="249">
        <f>H36+H37</f>
        <v>0</v>
      </c>
      <c r="I35" s="251"/>
      <c r="J35" s="249">
        <f>J36+J37</f>
        <v>0</v>
      </c>
      <c r="K35" s="251"/>
      <c r="L35" s="252">
        <f>L36+L37</f>
        <v>-34</v>
      </c>
      <c r="M35" s="251"/>
      <c r="N35" s="249">
        <f>N36+N37</f>
        <v>0</v>
      </c>
      <c r="O35" s="251"/>
      <c r="P35" s="253">
        <f>P36+P37</f>
        <v>40206</v>
      </c>
      <c r="Q35" s="251"/>
      <c r="R35" s="252">
        <f>SUM(D35:Q35)</f>
        <v>40172</v>
      </c>
    </row>
    <row r="36" spans="1:18" s="14" customFormat="1" ht="14.25" customHeight="1">
      <c r="A36" s="209" t="s">
        <v>162</v>
      </c>
      <c r="B36" s="184"/>
      <c r="C36" s="184"/>
      <c r="D36" s="230">
        <v>0</v>
      </c>
      <c r="E36" s="159"/>
      <c r="F36" s="230">
        <v>0</v>
      </c>
      <c r="G36" s="159"/>
      <c r="H36" s="230">
        <v>0</v>
      </c>
      <c r="I36" s="174"/>
      <c r="J36" s="230">
        <v>0</v>
      </c>
      <c r="K36" s="174"/>
      <c r="L36" s="230">
        <v>0</v>
      </c>
      <c r="M36" s="174"/>
      <c r="N36" s="230">
        <v>0</v>
      </c>
      <c r="O36" s="174"/>
      <c r="P36" s="231">
        <f>SCI!C28</f>
        <v>40190</v>
      </c>
      <c r="Q36" s="174"/>
      <c r="R36" s="238">
        <f>SUM(P36:Q36)</f>
        <v>40190</v>
      </c>
    </row>
    <row r="37" spans="1:18" s="14" customFormat="1" ht="12.75" customHeight="1">
      <c r="A37" s="209" t="s">
        <v>163</v>
      </c>
      <c r="B37" s="184"/>
      <c r="C37" s="184"/>
      <c r="D37" s="237">
        <v>0</v>
      </c>
      <c r="E37" s="159"/>
      <c r="F37" s="237">
        <v>0</v>
      </c>
      <c r="G37" s="159"/>
      <c r="H37" s="237">
        <v>0</v>
      </c>
      <c r="I37" s="174"/>
      <c r="J37" s="237">
        <v>0</v>
      </c>
      <c r="K37" s="174"/>
      <c r="L37" s="247">
        <v>-34</v>
      </c>
      <c r="M37" s="248"/>
      <c r="N37" s="247">
        <v>0</v>
      </c>
      <c r="O37" s="248"/>
      <c r="P37" s="247">
        <f>SCI!C33</f>
        <v>16</v>
      </c>
      <c r="Q37" s="248"/>
      <c r="R37" s="247">
        <f>SUM(L37:Q37)</f>
        <v>-18</v>
      </c>
    </row>
    <row r="38" spans="1:18" s="14" customFormat="1" ht="12.75" customHeight="1">
      <c r="A38" s="188" t="s">
        <v>103</v>
      </c>
      <c r="B38" s="184"/>
      <c r="C38" s="184"/>
      <c r="D38" s="237">
        <v>0</v>
      </c>
      <c r="E38" s="159"/>
      <c r="F38" s="237">
        <v>0</v>
      </c>
      <c r="G38" s="159"/>
      <c r="H38" s="237">
        <v>0</v>
      </c>
      <c r="I38" s="174"/>
      <c r="J38" s="237">
        <v>-569</v>
      </c>
      <c r="K38" s="237"/>
      <c r="L38" s="237">
        <v>-2</v>
      </c>
      <c r="M38" s="229"/>
      <c r="N38" s="237">
        <v>0</v>
      </c>
      <c r="O38" s="237"/>
      <c r="P38" s="237">
        <f>-J38-L38</f>
        <v>571</v>
      </c>
      <c r="Q38" s="174"/>
      <c r="R38" s="179"/>
    </row>
    <row r="39" spans="1:18" s="14" customFormat="1" ht="17.25" customHeight="1" thickBot="1">
      <c r="A39" s="175" t="s">
        <v>181</v>
      </c>
      <c r="B39" s="176">
        <v>28</v>
      </c>
      <c r="C39" s="176"/>
      <c r="D39" s="189">
        <f>D27+D29+D35+D38</f>
        <v>134798</v>
      </c>
      <c r="E39" s="159"/>
      <c r="F39" s="189">
        <f>F27+F29+F35+F38</f>
        <v>-34142</v>
      </c>
      <c r="G39" s="159"/>
      <c r="H39" s="189">
        <f>H27+H29+H35+H38+H32</f>
        <v>59297</v>
      </c>
      <c r="I39" s="174"/>
      <c r="J39" s="189">
        <f>J27+J29+J35+J38</f>
        <v>21864</v>
      </c>
      <c r="K39" s="174"/>
      <c r="L39" s="189">
        <f>L27+L29+L35+L38</f>
        <v>2897</v>
      </c>
      <c r="M39" s="174"/>
      <c r="N39" s="189">
        <f>N27+N29+N35+N38+N32</f>
        <v>298339</v>
      </c>
      <c r="O39" s="174"/>
      <c r="P39" s="189">
        <f>P27+P29+P35+P38+P32</f>
        <v>39249</v>
      </c>
      <c r="Q39" s="174"/>
      <c r="R39" s="189">
        <f>R27+R29+R35+R38+R32</f>
        <v>522302</v>
      </c>
    </row>
    <row r="40" spans="1:18" s="14" customFormat="1" ht="12" customHeight="1" thickTop="1">
      <c r="A40" s="175"/>
      <c r="B40" s="184"/>
      <c r="C40" s="184"/>
      <c r="D40" s="159"/>
      <c r="E40" s="159"/>
      <c r="F40" s="159"/>
      <c r="G40" s="159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9"/>
    </row>
    <row r="41" spans="1:18" s="14" customFormat="1" ht="12" customHeight="1">
      <c r="A41" s="175"/>
      <c r="B41" s="184"/>
      <c r="C41" s="184"/>
      <c r="D41" s="159"/>
      <c r="E41" s="159"/>
      <c r="F41" s="159"/>
      <c r="G41" s="159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9"/>
    </row>
    <row r="42" spans="1:18" s="14" customFormat="1" ht="12" customHeight="1">
      <c r="A42" s="175"/>
      <c r="B42" s="184"/>
      <c r="C42" s="184"/>
      <c r="D42" s="159"/>
      <c r="E42" s="159"/>
      <c r="F42" s="159"/>
      <c r="G42" s="159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9"/>
    </row>
    <row r="43" spans="1:18" s="14" customFormat="1" ht="12" customHeight="1">
      <c r="A43" s="175"/>
      <c r="B43" s="184"/>
      <c r="C43" s="184"/>
      <c r="D43" s="159"/>
      <c r="E43" s="159"/>
      <c r="F43" s="159"/>
      <c r="G43" s="159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9"/>
    </row>
    <row r="44" spans="1:18" s="14" customFormat="1" ht="12" customHeight="1">
      <c r="A44" s="175"/>
      <c r="B44" s="184"/>
      <c r="C44" s="184"/>
      <c r="D44" s="159"/>
      <c r="E44" s="159"/>
      <c r="F44" s="159"/>
      <c r="G44" s="159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9"/>
    </row>
    <row r="45" spans="1:18" s="14" customFormat="1" ht="12" customHeight="1">
      <c r="A45" s="175"/>
      <c r="B45" s="184"/>
      <c r="C45" s="184"/>
      <c r="D45" s="159"/>
      <c r="E45" s="159"/>
      <c r="F45" s="159"/>
      <c r="G45" s="159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9"/>
    </row>
    <row r="46" spans="1:18" s="9" customFormat="1" ht="15">
      <c r="A46" s="192" t="str">
        <f>SCF!A58</f>
        <v>Приложенията на страници от 5 до 140 са неразделна част от индивидуалния финансов отчет.</v>
      </c>
      <c r="B46" s="193"/>
      <c r="C46" s="193"/>
      <c r="D46" s="184"/>
      <c r="E46" s="184"/>
      <c r="F46" s="184"/>
      <c r="G46" s="184"/>
      <c r="H46" s="178"/>
      <c r="I46" s="184"/>
      <c r="J46" s="178"/>
      <c r="K46" s="184"/>
      <c r="L46" s="178"/>
      <c r="M46" s="184"/>
      <c r="N46" s="178"/>
      <c r="O46" s="184"/>
      <c r="P46" s="178"/>
      <c r="Q46" s="184"/>
      <c r="R46" s="194"/>
    </row>
    <row r="47" spans="1:18" s="9" customFormat="1" ht="8.25" customHeight="1">
      <c r="A47" s="192"/>
      <c r="B47" s="193"/>
      <c r="C47" s="193"/>
      <c r="D47" s="184"/>
      <c r="E47" s="184"/>
      <c r="F47" s="184"/>
      <c r="G47" s="184"/>
      <c r="H47" s="178"/>
      <c r="I47" s="184"/>
      <c r="J47" s="178"/>
      <c r="K47" s="184"/>
      <c r="L47" s="178"/>
      <c r="M47" s="184"/>
      <c r="N47" s="178"/>
      <c r="O47" s="184"/>
      <c r="P47" s="178"/>
      <c r="Q47" s="184"/>
      <c r="R47" s="194"/>
    </row>
    <row r="48" spans="1:18" s="9" customFormat="1" ht="14.25" customHeight="1">
      <c r="A48" s="192"/>
      <c r="B48" s="193"/>
      <c r="C48" s="193"/>
      <c r="D48" s="184"/>
      <c r="E48" s="184"/>
      <c r="F48" s="184"/>
      <c r="G48" s="184"/>
      <c r="H48" s="178"/>
      <c r="I48" s="184"/>
      <c r="J48" s="178"/>
      <c r="K48" s="184"/>
      <c r="L48" s="178"/>
      <c r="M48" s="184"/>
      <c r="N48" s="178"/>
      <c r="O48" s="184"/>
      <c r="P48" s="178"/>
      <c r="Q48" s="184"/>
      <c r="R48" s="194"/>
    </row>
    <row r="49" spans="1:18" s="9" customFormat="1" ht="11.25" customHeight="1">
      <c r="A49" s="192"/>
      <c r="B49" s="193"/>
      <c r="C49" s="193"/>
      <c r="D49" s="184"/>
      <c r="E49" s="184"/>
      <c r="F49" s="184"/>
      <c r="G49" s="184"/>
      <c r="H49" s="178"/>
      <c r="I49" s="184"/>
      <c r="J49" s="178"/>
      <c r="K49" s="184"/>
      <c r="L49" s="178"/>
      <c r="M49" s="184"/>
      <c r="N49" s="178"/>
      <c r="O49" s="184"/>
      <c r="P49" s="178"/>
      <c r="Q49" s="184"/>
      <c r="R49" s="194"/>
    </row>
    <row r="50" spans="1:18" s="9" customFormat="1" ht="15" customHeight="1">
      <c r="A50" s="192"/>
      <c r="B50" s="193"/>
      <c r="C50" s="193"/>
      <c r="D50" s="184"/>
      <c r="E50" s="184"/>
      <c r="F50" s="184"/>
      <c r="G50" s="184"/>
      <c r="H50" s="178"/>
      <c r="I50" s="184"/>
      <c r="J50" s="178"/>
      <c r="K50" s="184"/>
      <c r="L50" s="178"/>
      <c r="M50" s="184"/>
      <c r="N50" s="178"/>
      <c r="O50" s="184"/>
      <c r="P50" s="178"/>
      <c r="Q50" s="184"/>
      <c r="R50" s="194"/>
    </row>
    <row r="51" spans="1:18" s="146" customFormat="1" ht="13.5" customHeight="1">
      <c r="A51" s="195" t="s">
        <v>65</v>
      </c>
      <c r="B51" s="196" t="s">
        <v>119</v>
      </c>
      <c r="C51" s="196"/>
      <c r="D51" s="197"/>
      <c r="E51" s="197"/>
      <c r="F51" s="197"/>
      <c r="G51" s="197"/>
      <c r="H51" s="196" t="s">
        <v>120</v>
      </c>
      <c r="I51" s="197"/>
      <c r="J51" s="197"/>
      <c r="K51" s="197"/>
      <c r="L51" s="197"/>
      <c r="M51" s="197"/>
      <c r="N51" s="197"/>
      <c r="O51" s="197"/>
      <c r="P51" s="197"/>
      <c r="Q51" s="196"/>
      <c r="R51" s="196"/>
    </row>
    <row r="52" spans="1:18" s="146" customFormat="1" ht="11.25" customHeight="1">
      <c r="A52" s="198" t="s">
        <v>66</v>
      </c>
      <c r="B52" s="197"/>
      <c r="C52" s="197"/>
      <c r="D52" s="192" t="s">
        <v>145</v>
      </c>
      <c r="E52" s="197"/>
      <c r="F52" s="197"/>
      <c r="G52" s="197"/>
      <c r="H52" s="197"/>
      <c r="I52" s="192"/>
      <c r="J52" s="196" t="s">
        <v>146</v>
      </c>
      <c r="K52" s="197"/>
      <c r="L52" s="197"/>
      <c r="M52" s="197"/>
      <c r="N52" s="197"/>
      <c r="O52" s="197"/>
      <c r="P52" s="197"/>
      <c r="Q52" s="196"/>
      <c r="R52" s="196"/>
    </row>
    <row r="53" spans="1:18" s="146" customFormat="1" ht="11.25" customHeight="1">
      <c r="A53" s="198"/>
      <c r="B53" s="197"/>
      <c r="C53" s="197"/>
      <c r="D53" s="192"/>
      <c r="E53" s="197"/>
      <c r="F53" s="197"/>
      <c r="G53" s="197"/>
      <c r="H53" s="197"/>
      <c r="I53" s="192"/>
      <c r="J53" s="196"/>
      <c r="K53" s="197"/>
      <c r="L53" s="197"/>
      <c r="M53" s="197"/>
      <c r="N53" s="197"/>
      <c r="O53" s="197"/>
      <c r="P53" s="197"/>
      <c r="Q53" s="196"/>
      <c r="R53" s="196"/>
    </row>
    <row r="54" spans="1:18" s="146" customFormat="1" ht="11.25" customHeight="1">
      <c r="A54" s="198"/>
      <c r="B54" s="197"/>
      <c r="C54" s="197"/>
      <c r="D54" s="192"/>
      <c r="E54" s="197"/>
      <c r="F54" s="197"/>
      <c r="G54" s="197"/>
      <c r="H54" s="197"/>
      <c r="I54" s="192"/>
      <c r="J54" s="196"/>
      <c r="K54" s="197"/>
      <c r="L54" s="197"/>
      <c r="M54" s="197"/>
      <c r="N54" s="197"/>
      <c r="O54" s="197"/>
      <c r="P54" s="197"/>
      <c r="Q54" s="196"/>
      <c r="R54" s="196"/>
    </row>
    <row r="55" spans="1:18" s="146" customFormat="1" ht="11.25" customHeight="1">
      <c r="A55" s="198"/>
      <c r="B55" s="197"/>
      <c r="C55" s="197"/>
      <c r="D55" s="192"/>
      <c r="E55" s="197"/>
      <c r="F55" s="197"/>
      <c r="G55" s="197"/>
      <c r="H55" s="197"/>
      <c r="I55" s="192"/>
      <c r="J55" s="196"/>
      <c r="K55" s="197"/>
      <c r="L55" s="197"/>
      <c r="M55" s="197"/>
      <c r="N55" s="197"/>
      <c r="O55" s="197"/>
      <c r="P55" s="197"/>
      <c r="Q55" s="196"/>
      <c r="R55" s="196"/>
    </row>
    <row r="56" spans="1:18" s="146" customFormat="1" ht="11.25" customHeight="1">
      <c r="A56" s="198"/>
      <c r="B56" s="197"/>
      <c r="C56" s="197"/>
      <c r="D56" s="192"/>
      <c r="E56" s="197"/>
      <c r="F56" s="197"/>
      <c r="G56" s="197"/>
      <c r="H56" s="197"/>
      <c r="I56" s="192"/>
      <c r="J56" s="196"/>
      <c r="K56" s="197"/>
      <c r="L56" s="197"/>
      <c r="M56" s="197"/>
      <c r="N56" s="197"/>
      <c r="O56" s="197"/>
      <c r="P56" s="197"/>
      <c r="Q56" s="196"/>
      <c r="R56" s="196"/>
    </row>
    <row r="57" spans="1:18" s="146" customFormat="1" ht="11.25" customHeight="1">
      <c r="A57" s="255"/>
      <c r="B57" s="256"/>
      <c r="C57" s="197"/>
      <c r="D57" s="192"/>
      <c r="E57" s="197"/>
      <c r="F57" s="197"/>
      <c r="G57" s="197"/>
      <c r="H57" s="197"/>
      <c r="I57" s="192"/>
      <c r="J57" s="196"/>
      <c r="K57" s="197"/>
      <c r="L57" s="197"/>
      <c r="M57" s="197"/>
      <c r="N57" s="197"/>
      <c r="O57" s="197"/>
      <c r="P57" s="197"/>
      <c r="Q57" s="196"/>
      <c r="R57" s="196"/>
    </row>
    <row r="58" spans="1:8" ht="15">
      <c r="A58" s="166" t="str">
        <f>SCI!A51</f>
        <v>* Модифицирано ретроспективно приложение на МСФО 16 (Приложение № 32 и Приложение № 33)</v>
      </c>
      <c r="B58" s="37"/>
      <c r="C58" s="37"/>
      <c r="D58"/>
      <c r="E58"/>
      <c r="F58"/>
      <c r="G58"/>
      <c r="H58"/>
    </row>
    <row r="59" spans="1:3" ht="15">
      <c r="A59" s="147"/>
      <c r="B59"/>
      <c r="C59"/>
    </row>
    <row r="68" spans="1:3" ht="15">
      <c r="A68" s="34"/>
      <c r="B68" s="34"/>
      <c r="C68" s="34"/>
    </row>
  </sheetData>
  <sheetProtection/>
  <mergeCells count="11">
    <mergeCell ref="H4:H5"/>
    <mergeCell ref="J4:J5"/>
    <mergeCell ref="L4:L5"/>
    <mergeCell ref="N4:N5"/>
    <mergeCell ref="P4:P5"/>
    <mergeCell ref="R4:R5"/>
    <mergeCell ref="A2:R2"/>
    <mergeCell ref="D4:D5"/>
    <mergeCell ref="F4:F5"/>
    <mergeCell ref="A4:A5"/>
    <mergeCell ref="B4:B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Hristina Kerezova</cp:lastModifiedBy>
  <cp:lastPrinted>2020-01-25T07:35:39Z</cp:lastPrinted>
  <dcterms:created xsi:type="dcterms:W3CDTF">2003-02-07T14:36:34Z</dcterms:created>
  <dcterms:modified xsi:type="dcterms:W3CDTF">2020-01-30T11:33:02Z</dcterms:modified>
  <cp:category/>
  <cp:version/>
  <cp:contentType/>
  <cp:contentStatus/>
</cp:coreProperties>
</file>